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1075" windowHeight="12090" activeTab="3"/>
  </bookViews>
  <sheets>
    <sheet name="Expenditure" sheetId="1" r:id="rId1"/>
    <sheet name="Income" sheetId="2" r:id="rId2"/>
    <sheet name="BDC Deposit" sheetId="3" r:id="rId3"/>
    <sheet name="Bank Rec" sheetId="4" r:id="rId4"/>
  </sheets>
  <externalReferences>
    <externalReference r:id="rId5"/>
  </externalReferences>
  <definedNames>
    <definedName name="_xlnm._FilterDatabase" localSheetId="0" hidden="1">Expenditure!$A$1:$AZ$301</definedName>
    <definedName name="_xlnm._FilterDatabase" localSheetId="1" hidden="1">Income!$A$1:$S$162</definedName>
    <definedName name="_xlnm.Print_Area" localSheetId="3">'Bank Rec'!$A$1:$F$28</definedName>
    <definedName name="_xlnm.Print_Area" localSheetId="0">Expenditure!$A$1:$AZ$300</definedName>
    <definedName name="_xlnm.Print_Area" localSheetId="1">Income!$A$1:$S$148</definedName>
    <definedName name="_xlnm.Print_Titles" localSheetId="0">Expenditure!$A:$E,Expenditure!$2:$4</definedName>
  </definedNames>
  <calcPr calcId="125725"/>
</workbook>
</file>

<file path=xl/calcChain.xml><?xml version="1.0" encoding="utf-8"?>
<calcChain xmlns="http://schemas.openxmlformats.org/spreadsheetml/2006/main">
  <c r="E20" i="4"/>
  <c r="E22" s="1"/>
  <c r="E11"/>
  <c r="I24" i="3"/>
  <c r="F21"/>
  <c r="F20"/>
  <c r="F19"/>
  <c r="F18"/>
  <c r="F17"/>
  <c r="D16"/>
  <c r="D24" s="1"/>
  <c r="F15"/>
  <c r="F14"/>
  <c r="F13"/>
  <c r="F12"/>
  <c r="F11"/>
  <c r="F10"/>
  <c r="F9"/>
  <c r="F8"/>
  <c r="H7"/>
  <c r="H24" s="1"/>
  <c r="E13" i="4" s="1"/>
  <c r="G6" i="3"/>
  <c r="G24" s="1"/>
  <c r="E6"/>
  <c r="E7" s="1"/>
  <c r="E8" s="1"/>
  <c r="E9" s="1"/>
  <c r="E10" s="1"/>
  <c r="E11" s="1"/>
  <c r="E12" s="1"/>
  <c r="E13" s="1"/>
  <c r="E14" s="1"/>
  <c r="E15" s="1"/>
  <c r="Q162" i="2"/>
  <c r="P162"/>
  <c r="O162"/>
  <c r="N162"/>
  <c r="M162"/>
  <c r="L162"/>
  <c r="J162"/>
  <c r="I162"/>
  <c r="H162"/>
  <c r="G162"/>
  <c r="F162"/>
  <c r="Q161"/>
  <c r="P161"/>
  <c r="O161"/>
  <c r="N161"/>
  <c r="M161"/>
  <c r="L161"/>
  <c r="I161"/>
  <c r="H161"/>
  <c r="G161"/>
  <c r="F161"/>
  <c r="Q160"/>
  <c r="P160"/>
  <c r="O160"/>
  <c r="N160"/>
  <c r="M160"/>
  <c r="L160"/>
  <c r="K160"/>
  <c r="I160"/>
  <c r="H160"/>
  <c r="G160"/>
  <c r="F160"/>
  <c r="Q159"/>
  <c r="P159"/>
  <c r="O159"/>
  <c r="N159"/>
  <c r="M159"/>
  <c r="L159"/>
  <c r="I159"/>
  <c r="H159"/>
  <c r="G159"/>
  <c r="F159"/>
  <c r="Q158"/>
  <c r="O158"/>
  <c r="N158"/>
  <c r="M158"/>
  <c r="L158"/>
  <c r="K158"/>
  <c r="I158"/>
  <c r="H158"/>
  <c r="G158"/>
  <c r="F158"/>
  <c r="Q157"/>
  <c r="Q150" s="1"/>
  <c r="O157"/>
  <c r="N157"/>
  <c r="M157"/>
  <c r="L157"/>
  <c r="I157"/>
  <c r="H157"/>
  <c r="G157"/>
  <c r="F157"/>
  <c r="Q156"/>
  <c r="P156"/>
  <c r="O156"/>
  <c r="N156"/>
  <c r="M156"/>
  <c r="L156"/>
  <c r="K156"/>
  <c r="J156"/>
  <c r="I156"/>
  <c r="H156"/>
  <c r="G156"/>
  <c r="F156"/>
  <c r="Q155"/>
  <c r="P155"/>
  <c r="O155"/>
  <c r="N155"/>
  <c r="M155"/>
  <c r="L155"/>
  <c r="K155"/>
  <c r="J155"/>
  <c r="I155"/>
  <c r="H155"/>
  <c r="G155"/>
  <c r="F155"/>
  <c r="Q154"/>
  <c r="P154"/>
  <c r="O154"/>
  <c r="N154"/>
  <c r="M154"/>
  <c r="L154"/>
  <c r="K154"/>
  <c r="J154"/>
  <c r="I154"/>
  <c r="H154"/>
  <c r="G154"/>
  <c r="F154"/>
  <c r="Q153"/>
  <c r="P153"/>
  <c r="O153"/>
  <c r="N153"/>
  <c r="M153"/>
  <c r="L153"/>
  <c r="K153"/>
  <c r="J153"/>
  <c r="I153"/>
  <c r="H153"/>
  <c r="G153"/>
  <c r="F153"/>
  <c r="Q152"/>
  <c r="P152"/>
  <c r="O152"/>
  <c r="N152"/>
  <c r="M152"/>
  <c r="L152"/>
  <c r="K152"/>
  <c r="J152"/>
  <c r="I152"/>
  <c r="H152"/>
  <c r="G152"/>
  <c r="F152"/>
  <c r="Q151"/>
  <c r="P151"/>
  <c r="O151"/>
  <c r="N151"/>
  <c r="N150" s="1"/>
  <c r="M151"/>
  <c r="L151"/>
  <c r="L150" s="1"/>
  <c r="K151"/>
  <c r="J151"/>
  <c r="I151"/>
  <c r="H151"/>
  <c r="H150" s="1"/>
  <c r="G151"/>
  <c r="F151"/>
  <c r="F150" s="1"/>
  <c r="O150"/>
  <c r="M150"/>
  <c r="I150"/>
  <c r="G150"/>
  <c r="T147"/>
  <c r="Q145"/>
  <c r="O145"/>
  <c r="O149" s="1"/>
  <c r="N145"/>
  <c r="M145"/>
  <c r="M149" s="1"/>
  <c r="L145"/>
  <c r="I145"/>
  <c r="I149" s="1"/>
  <c r="H145"/>
  <c r="G145"/>
  <c r="G149" s="1"/>
  <c r="F145"/>
  <c r="E6" i="4" s="1"/>
  <c r="R144" i="2"/>
  <c r="R143"/>
  <c r="R142"/>
  <c r="R141"/>
  <c r="R140"/>
  <c r="R139"/>
  <c r="R138"/>
  <c r="R137"/>
  <c r="R136"/>
  <c r="R135"/>
  <c r="R134"/>
  <c r="K134"/>
  <c r="K133"/>
  <c r="R133" s="1"/>
  <c r="K132"/>
  <c r="R132" s="1"/>
  <c r="K131"/>
  <c r="K162" s="1"/>
  <c r="K130"/>
  <c r="R130" s="1"/>
  <c r="K129"/>
  <c r="R129" s="1"/>
  <c r="K128"/>
  <c r="R128" s="1"/>
  <c r="K127"/>
  <c r="R127" s="1"/>
  <c r="K126"/>
  <c r="R126" s="1"/>
  <c r="K125"/>
  <c r="K161" s="1"/>
  <c r="J124"/>
  <c r="R124" s="1"/>
  <c r="J123"/>
  <c r="R123" s="1"/>
  <c r="J122"/>
  <c r="R122" s="1"/>
  <c r="J121"/>
  <c r="R121" s="1"/>
  <c r="J120"/>
  <c r="R120" s="1"/>
  <c r="J119"/>
  <c r="R119" s="1"/>
  <c r="J118"/>
  <c r="R118" s="1"/>
  <c r="K117"/>
  <c r="R117" s="1"/>
  <c r="K116"/>
  <c r="R116" s="1"/>
  <c r="J115"/>
  <c r="R115" s="1"/>
  <c r="K114"/>
  <c r="K159" s="1"/>
  <c r="J113"/>
  <c r="J159" s="1"/>
  <c r="J112"/>
  <c r="R112" s="1"/>
  <c r="J111"/>
  <c r="R111" s="1"/>
  <c r="J110"/>
  <c r="R110" s="1"/>
  <c r="J109"/>
  <c r="R109" s="1"/>
  <c r="J108"/>
  <c r="R108" s="1"/>
  <c r="J107"/>
  <c r="R107" s="1"/>
  <c r="P106"/>
  <c r="R106" s="1"/>
  <c r="J105"/>
  <c r="R105" s="1"/>
  <c r="J104"/>
  <c r="R104" s="1"/>
  <c r="R103"/>
  <c r="J103"/>
  <c r="R102"/>
  <c r="J102"/>
  <c r="R101"/>
  <c r="J101"/>
  <c r="R100"/>
  <c r="U103" s="1"/>
  <c r="J100"/>
  <c r="R99"/>
  <c r="K99"/>
  <c r="K157" s="1"/>
  <c r="J98"/>
  <c r="R98" s="1"/>
  <c r="J97"/>
  <c r="R97" s="1"/>
  <c r="R96"/>
  <c r="J96"/>
  <c r="R95"/>
  <c r="J95"/>
  <c r="R94"/>
  <c r="J94"/>
  <c r="R93"/>
  <c r="J93"/>
  <c r="R92"/>
  <c r="U96" s="1"/>
  <c r="J92"/>
  <c r="J91"/>
  <c r="R91" s="1"/>
  <c r="J90"/>
  <c r="R90" s="1"/>
  <c r="J89"/>
  <c r="R89" s="1"/>
  <c r="J88"/>
  <c r="R88" s="1"/>
  <c r="J87"/>
  <c r="R87" s="1"/>
  <c r="J86"/>
  <c r="R86" s="1"/>
  <c r="J85"/>
  <c r="R85" s="1"/>
  <c r="J84"/>
  <c r="R84" s="1"/>
  <c r="J83"/>
  <c r="R83" s="1"/>
  <c r="J82"/>
  <c r="R82" s="1"/>
  <c r="J81"/>
  <c r="R81" s="1"/>
  <c r="J80"/>
  <c r="R80" s="1"/>
  <c r="J79"/>
  <c r="R79" s="1"/>
  <c r="J78"/>
  <c r="R78" s="1"/>
  <c r="J77"/>
  <c r="R77" s="1"/>
  <c r="J76"/>
  <c r="R76" s="1"/>
  <c r="J75"/>
  <c r="R75" s="1"/>
  <c r="J74"/>
  <c r="R74" s="1"/>
  <c r="J73"/>
  <c r="R73" s="1"/>
  <c r="J72"/>
  <c r="R72" s="1"/>
  <c r="U76" s="1"/>
  <c r="J71"/>
  <c r="R71" s="1"/>
  <c r="J70"/>
  <c r="R70" s="1"/>
  <c r="J69"/>
  <c r="R69" s="1"/>
  <c r="J68"/>
  <c r="R68" s="1"/>
  <c r="J67"/>
  <c r="R67" s="1"/>
  <c r="J66"/>
  <c r="R66" s="1"/>
  <c r="J65"/>
  <c r="R65" s="1"/>
  <c r="J64"/>
  <c r="R64" s="1"/>
  <c r="J63"/>
  <c r="R63" s="1"/>
  <c r="J62"/>
  <c r="R62" s="1"/>
  <c r="J61"/>
  <c r="R61" s="1"/>
  <c r="J60"/>
  <c r="R60" s="1"/>
  <c r="P59"/>
  <c r="P157" s="1"/>
  <c r="J58"/>
  <c r="R58" s="1"/>
  <c r="J57"/>
  <c r="R57" s="1"/>
  <c r="J56"/>
  <c r="R56" s="1"/>
  <c r="J55"/>
  <c r="R55" s="1"/>
  <c r="J54"/>
  <c r="R54" s="1"/>
  <c r="J53"/>
  <c r="R53" s="1"/>
  <c r="J52"/>
  <c r="R52" s="1"/>
  <c r="J51"/>
  <c r="R51" s="1"/>
  <c r="J50"/>
  <c r="R50" s="1"/>
  <c r="J49"/>
  <c r="R49" s="1"/>
  <c r="J48"/>
  <c r="R48" s="1"/>
  <c r="J47"/>
  <c r="R47" s="1"/>
  <c r="J46"/>
  <c r="R46" s="1"/>
  <c r="J45"/>
  <c r="R45" s="1"/>
  <c r="J44"/>
  <c r="R44" s="1"/>
  <c r="J43"/>
  <c r="J157" s="1"/>
  <c r="R42"/>
  <c r="R41"/>
  <c r="R40"/>
  <c r="R39"/>
  <c r="R38"/>
  <c r="R37"/>
  <c r="R36"/>
  <c r="R35"/>
  <c r="U36" s="1"/>
  <c r="R34"/>
  <c r="R33"/>
  <c r="R32"/>
  <c r="R31"/>
  <c r="R30"/>
  <c r="R29"/>
  <c r="U30" s="1"/>
  <c r="R28"/>
  <c r="R27"/>
  <c r="R26"/>
  <c r="T25"/>
  <c r="R25"/>
  <c r="T24"/>
  <c r="R24"/>
  <c r="T23"/>
  <c r="R23"/>
  <c r="T22"/>
  <c r="R22"/>
  <c r="T21"/>
  <c r="R21"/>
  <c r="T20"/>
  <c r="R20"/>
  <c r="T19"/>
  <c r="R19"/>
  <c r="T18"/>
  <c r="R18"/>
  <c r="T17"/>
  <c r="R17"/>
  <c r="T16"/>
  <c r="R16"/>
  <c r="T15"/>
  <c r="R15"/>
  <c r="T14"/>
  <c r="R14"/>
  <c r="T13"/>
  <c r="R13"/>
  <c r="T12"/>
  <c r="R12"/>
  <c r="T11"/>
  <c r="R11"/>
  <c r="T10"/>
  <c r="R10"/>
  <c r="T9"/>
  <c r="R9"/>
  <c r="T8"/>
  <c r="R8"/>
  <c r="T7"/>
  <c r="R7"/>
  <c r="T6"/>
  <c r="R6"/>
  <c r="T5"/>
  <c r="R5"/>
  <c r="AX333" i="1"/>
  <c r="AW333"/>
  <c r="AV333"/>
  <c r="AU333"/>
  <c r="AS333"/>
  <c r="AR333"/>
  <c r="AQ333"/>
  <c r="AP333"/>
  <c r="AO333"/>
  <c r="AN333"/>
  <c r="AM333"/>
  <c r="AL333"/>
  <c r="AK333"/>
  <c r="AJ333"/>
  <c r="AH333"/>
  <c r="AG333"/>
  <c r="AE333"/>
  <c r="AD333"/>
  <c r="Z333"/>
  <c r="Y333"/>
  <c r="X333"/>
  <c r="W333"/>
  <c r="V333"/>
  <c r="U333"/>
  <c r="T333"/>
  <c r="T334" s="1"/>
  <c r="S333"/>
  <c r="R333"/>
  <c r="Q333"/>
  <c r="P333"/>
  <c r="H333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H332" s="1"/>
  <c r="AG331"/>
  <c r="AF331"/>
  <c r="AF332" s="1"/>
  <c r="AE331"/>
  <c r="AD331"/>
  <c r="Z331"/>
  <c r="Y331"/>
  <c r="Y332" s="1"/>
  <c r="X331"/>
  <c r="W331"/>
  <c r="V331"/>
  <c r="U331"/>
  <c r="T331"/>
  <c r="S331"/>
  <c r="R331"/>
  <c r="Q331"/>
  <c r="P331"/>
  <c r="N331"/>
  <c r="M331"/>
  <c r="I331"/>
  <c r="H331"/>
  <c r="AX329"/>
  <c r="AW329"/>
  <c r="AV329"/>
  <c r="AU329"/>
  <c r="AT329"/>
  <c r="AS329"/>
  <c r="AR329"/>
  <c r="AQ329"/>
  <c r="AP329"/>
  <c r="AO329"/>
  <c r="AN329"/>
  <c r="AM329"/>
  <c r="AK329"/>
  <c r="AJ329"/>
  <c r="AI329"/>
  <c r="AH329"/>
  <c r="AG329"/>
  <c r="AF329"/>
  <c r="AE329"/>
  <c r="AD329"/>
  <c r="Z329"/>
  <c r="Y329"/>
  <c r="X329"/>
  <c r="W329"/>
  <c r="V329"/>
  <c r="U329"/>
  <c r="T329"/>
  <c r="T330" s="1"/>
  <c r="S329"/>
  <c r="R329"/>
  <c r="Q329"/>
  <c r="P329"/>
  <c r="N329"/>
  <c r="M329"/>
  <c r="AX327"/>
  <c r="AW327"/>
  <c r="AV327"/>
  <c r="AT327"/>
  <c r="AS327"/>
  <c r="AR327"/>
  <c r="AQ327"/>
  <c r="AP327"/>
  <c r="AO327"/>
  <c r="AN327"/>
  <c r="AM327"/>
  <c r="AL327"/>
  <c r="AK327"/>
  <c r="AJ327"/>
  <c r="AI327"/>
  <c r="AH327"/>
  <c r="AH328" s="1"/>
  <c r="AG327"/>
  <c r="AF327"/>
  <c r="AF328" s="1"/>
  <c r="AE327"/>
  <c r="AD327"/>
  <c r="Z327"/>
  <c r="Y327"/>
  <c r="Y328" s="1"/>
  <c r="X327"/>
  <c r="W327"/>
  <c r="V327"/>
  <c r="U327"/>
  <c r="T327"/>
  <c r="S327"/>
  <c r="Q327"/>
  <c r="P327"/>
  <c r="N327"/>
  <c r="H327"/>
  <c r="AX325"/>
  <c r="AW325"/>
  <c r="AV325"/>
  <c r="AT325"/>
  <c r="AS325"/>
  <c r="AR325"/>
  <c r="AQ325"/>
  <c r="AP325"/>
  <c r="AO325"/>
  <c r="AN325"/>
  <c r="AM325"/>
  <c r="AK325"/>
  <c r="AJ325"/>
  <c r="AI325"/>
  <c r="AH325"/>
  <c r="AG325"/>
  <c r="AF325"/>
  <c r="AE325"/>
  <c r="AD325"/>
  <c r="Z325"/>
  <c r="Y325"/>
  <c r="X325"/>
  <c r="W325"/>
  <c r="V325"/>
  <c r="U325"/>
  <c r="T325"/>
  <c r="T326" s="1"/>
  <c r="S325"/>
  <c r="Q325"/>
  <c r="P325"/>
  <c r="O325"/>
  <c r="N325"/>
  <c r="AX323"/>
  <c r="AW323"/>
  <c r="AV323"/>
  <c r="AU323"/>
  <c r="AT323"/>
  <c r="AS323"/>
  <c r="AR323"/>
  <c r="AQ323"/>
  <c r="AP323"/>
  <c r="AO323"/>
  <c r="AN323"/>
  <c r="AM323"/>
  <c r="AL323"/>
  <c r="AK323"/>
  <c r="AJ323"/>
  <c r="AH323"/>
  <c r="AG323"/>
  <c r="AF323"/>
  <c r="AE323"/>
  <c r="AD323"/>
  <c r="AA323"/>
  <c r="X323"/>
  <c r="W323"/>
  <c r="V323"/>
  <c r="U323"/>
  <c r="T323"/>
  <c r="S323"/>
  <c r="Q323"/>
  <c r="P323"/>
  <c r="O323"/>
  <c r="N323"/>
  <c r="I323"/>
  <c r="H323"/>
  <c r="AX321"/>
  <c r="AW321"/>
  <c r="AV321"/>
  <c r="AU321"/>
  <c r="AT321"/>
  <c r="AS321"/>
  <c r="AR321"/>
  <c r="AQ321"/>
  <c r="AP321"/>
  <c r="AO321"/>
  <c r="AN321"/>
  <c r="AM321"/>
  <c r="AL321"/>
  <c r="AK321"/>
  <c r="AJ321"/>
  <c r="AH321"/>
  <c r="AG321"/>
  <c r="AF321"/>
  <c r="AF322" s="1"/>
  <c r="AE321"/>
  <c r="AD321"/>
  <c r="AA321"/>
  <c r="Z321"/>
  <c r="Y321"/>
  <c r="X321"/>
  <c r="W321"/>
  <c r="V321"/>
  <c r="U321"/>
  <c r="T321"/>
  <c r="T322" s="1"/>
  <c r="S321"/>
  <c r="Q321"/>
  <c r="P321"/>
  <c r="O321"/>
  <c r="N321"/>
  <c r="H321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A319"/>
  <c r="Z319"/>
  <c r="Y319"/>
  <c r="Y320" s="1"/>
  <c r="X319"/>
  <c r="W319"/>
  <c r="V319"/>
  <c r="U319"/>
  <c r="T319"/>
  <c r="S319"/>
  <c r="R319"/>
  <c r="Q319"/>
  <c r="P319"/>
  <c r="N319"/>
  <c r="M319"/>
  <c r="J319"/>
  <c r="I319"/>
  <c r="H319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A317"/>
  <c r="Z317"/>
  <c r="Y317"/>
  <c r="Y318" s="1"/>
  <c r="X317"/>
  <c r="W317"/>
  <c r="V317"/>
  <c r="U317"/>
  <c r="T317"/>
  <c r="S317"/>
  <c r="R317"/>
  <c r="Q317"/>
  <c r="P317"/>
  <c r="N317"/>
  <c r="K317"/>
  <c r="J317"/>
  <c r="I317"/>
  <c r="H317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A315"/>
  <c r="Z315"/>
  <c r="Y315"/>
  <c r="Y316" s="1"/>
  <c r="X315"/>
  <c r="W315"/>
  <c r="V315"/>
  <c r="U315"/>
  <c r="T315"/>
  <c r="S315"/>
  <c r="Q315"/>
  <c r="P315"/>
  <c r="O315"/>
  <c r="N315"/>
  <c r="M315"/>
  <c r="L315"/>
  <c r="K315"/>
  <c r="J315"/>
  <c r="I315"/>
  <c r="H315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A313"/>
  <c r="Z313"/>
  <c r="Y313"/>
  <c r="Y314" s="1"/>
  <c r="X313"/>
  <c r="W313"/>
  <c r="V313"/>
  <c r="U313"/>
  <c r="T313"/>
  <c r="S313"/>
  <c r="Q313"/>
  <c r="P313"/>
  <c r="N313"/>
  <c r="L313"/>
  <c r="K313"/>
  <c r="J313"/>
  <c r="I313"/>
  <c r="H313"/>
  <c r="AX311"/>
  <c r="AW311"/>
  <c r="AV311"/>
  <c r="AU311"/>
  <c r="AT311"/>
  <c r="AS311"/>
  <c r="AR311"/>
  <c r="AQ311"/>
  <c r="AP311"/>
  <c r="AN311"/>
  <c r="AM311"/>
  <c r="AL311"/>
  <c r="AK311"/>
  <c r="AJ311"/>
  <c r="AI311"/>
  <c r="AH311"/>
  <c r="AH312" s="1"/>
  <c r="AG311"/>
  <c r="AF311"/>
  <c r="AF312" s="1"/>
  <c r="AE311"/>
  <c r="AD311"/>
  <c r="AB311"/>
  <c r="AA311"/>
  <c r="Z311"/>
  <c r="Y311"/>
  <c r="Y312" s="1"/>
  <c r="X311"/>
  <c r="W311"/>
  <c r="V311"/>
  <c r="U311"/>
  <c r="T311"/>
  <c r="S311"/>
  <c r="R311"/>
  <c r="Q311"/>
  <c r="P311"/>
  <c r="O311"/>
  <c r="N311"/>
  <c r="M311"/>
  <c r="M312" s="1"/>
  <c r="L311"/>
  <c r="K311"/>
  <c r="J311"/>
  <c r="I311"/>
  <c r="H311"/>
  <c r="AU305"/>
  <c r="AV303"/>
  <c r="AU302"/>
  <c r="AI301"/>
  <c r="AI300"/>
  <c r="AX298"/>
  <c r="AW298"/>
  <c r="AV298"/>
  <c r="AS298"/>
  <c r="AR298"/>
  <c r="AQ298"/>
  <c r="AP298"/>
  <c r="AN298"/>
  <c r="AM298"/>
  <c r="AK298"/>
  <c r="AJ298"/>
  <c r="AH298"/>
  <c r="AG298"/>
  <c r="AE298"/>
  <c r="AD298"/>
  <c r="X298"/>
  <c r="W298"/>
  <c r="V298"/>
  <c r="U298"/>
  <c r="T298"/>
  <c r="T300" s="1"/>
  <c r="S298"/>
  <c r="Q298"/>
  <c r="P298"/>
  <c r="AZ297"/>
  <c r="AY296"/>
  <c r="AZ296" s="1"/>
  <c r="L295"/>
  <c r="L333" s="1"/>
  <c r="AY294"/>
  <c r="AZ294" s="1"/>
  <c r="K294"/>
  <c r="K333" s="1"/>
  <c r="AZ293"/>
  <c r="AY293"/>
  <c r="AZ292"/>
  <c r="AY292"/>
  <c r="AZ291"/>
  <c r="AY291"/>
  <c r="AZ290"/>
  <c r="AY290"/>
  <c r="AZ289"/>
  <c r="AY289"/>
  <c r="AF288"/>
  <c r="AF333" s="1"/>
  <c r="AF334" s="1"/>
  <c r="AY287"/>
  <c r="AZ287" s="1"/>
  <c r="AY286"/>
  <c r="AZ286" s="1"/>
  <c r="AI286"/>
  <c r="AI333" s="1"/>
  <c r="AZ285"/>
  <c r="AY285"/>
  <c r="AZ284"/>
  <c r="AY284"/>
  <c r="O283"/>
  <c r="O333" s="1"/>
  <c r="M283"/>
  <c r="M333" s="1"/>
  <c r="AZ282"/>
  <c r="AY282"/>
  <c r="AC281"/>
  <c r="AC333" s="1"/>
  <c r="AB281"/>
  <c r="AB333" s="1"/>
  <c r="AA281"/>
  <c r="AA333" s="1"/>
  <c r="AA334" s="1"/>
  <c r="AY280"/>
  <c r="AZ280" s="1"/>
  <c r="AY279"/>
  <c r="AZ279" s="1"/>
  <c r="AY278"/>
  <c r="AZ278" s="1"/>
  <c r="AT277"/>
  <c r="AT333" s="1"/>
  <c r="I277"/>
  <c r="AY276"/>
  <c r="AZ276" s="1"/>
  <c r="N275"/>
  <c r="N333" s="1"/>
  <c r="AY274"/>
  <c r="AZ274" s="1"/>
  <c r="AY273"/>
  <c r="AZ273" s="1"/>
  <c r="J272"/>
  <c r="J333" s="1"/>
  <c r="AY271"/>
  <c r="AZ271" s="1"/>
  <c r="L271"/>
  <c r="L331" s="1"/>
  <c r="K270"/>
  <c r="K331" s="1"/>
  <c r="AY269"/>
  <c r="AZ269" s="1"/>
  <c r="AY268"/>
  <c r="AZ268" s="1"/>
  <c r="AY267"/>
  <c r="AZ267" s="1"/>
  <c r="AY266"/>
  <c r="AZ266" s="1"/>
  <c r="AY265"/>
  <c r="AZ265" s="1"/>
  <c r="AY264"/>
  <c r="AZ264" s="1"/>
  <c r="AY263"/>
  <c r="AZ263" s="1"/>
  <c r="AY262"/>
  <c r="AZ262" s="1"/>
  <c r="AY261"/>
  <c r="AZ261" s="1"/>
  <c r="AY260"/>
  <c r="AZ260" s="1"/>
  <c r="AY259"/>
  <c r="AZ259" s="1"/>
  <c r="AY258"/>
  <c r="AZ258" s="1"/>
  <c r="AY257"/>
  <c r="AZ257" s="1"/>
  <c r="AY256"/>
  <c r="AZ256" s="1"/>
  <c r="O256"/>
  <c r="O331" s="1"/>
  <c r="AZ255"/>
  <c r="AY255"/>
  <c r="AC254"/>
  <c r="AC331" s="1"/>
  <c r="AB254"/>
  <c r="AB331" s="1"/>
  <c r="AA254"/>
  <c r="AA331" s="1"/>
  <c r="AY253"/>
  <c r="AZ253" s="1"/>
  <c r="AY252"/>
  <c r="AZ252" s="1"/>
  <c r="AY251"/>
  <c r="AZ251" s="1"/>
  <c r="AY250"/>
  <c r="AZ250" s="1"/>
  <c r="AY249"/>
  <c r="AZ249" s="1"/>
  <c r="AY248"/>
  <c r="AZ248" s="1"/>
  <c r="AY247"/>
  <c r="AZ247" s="1"/>
  <c r="AY246"/>
  <c r="AZ246" s="1"/>
  <c r="J245"/>
  <c r="J331" s="1"/>
  <c r="L244"/>
  <c r="L329" s="1"/>
  <c r="AY243"/>
  <c r="AZ243" s="1"/>
  <c r="K243"/>
  <c r="K329" s="1"/>
  <c r="AZ242"/>
  <c r="AY242"/>
  <c r="AZ241"/>
  <c r="AY241"/>
  <c r="AZ240"/>
  <c r="AY240"/>
  <c r="AZ239"/>
  <c r="AY239"/>
  <c r="AZ238"/>
  <c r="AY238"/>
  <c r="AZ237"/>
  <c r="AY237"/>
  <c r="AZ236"/>
  <c r="AY236"/>
  <c r="AL235"/>
  <c r="AL329" s="1"/>
  <c r="I235"/>
  <c r="I329" s="1"/>
  <c r="H235"/>
  <c r="H329" s="1"/>
  <c r="AY234"/>
  <c r="AZ234" s="1"/>
  <c r="AY233"/>
  <c r="AZ233" s="1"/>
  <c r="AY232"/>
  <c r="AZ232" s="1"/>
  <c r="AY231"/>
  <c r="AZ231" s="1"/>
  <c r="AY230"/>
  <c r="AZ230" s="1"/>
  <c r="AY229"/>
  <c r="AZ229" s="1"/>
  <c r="O228"/>
  <c r="O329" s="1"/>
  <c r="AY227"/>
  <c r="AZ227" s="1"/>
  <c r="AC226"/>
  <c r="AC329" s="1"/>
  <c r="AB226"/>
  <c r="AB329" s="1"/>
  <c r="AA226"/>
  <c r="AA329" s="1"/>
  <c r="AY225"/>
  <c r="AZ225" s="1"/>
  <c r="AY224"/>
  <c r="AZ224" s="1"/>
  <c r="AY223"/>
  <c r="AZ223" s="1"/>
  <c r="AY222"/>
  <c r="AZ222" s="1"/>
  <c r="AY221"/>
  <c r="AZ221" s="1"/>
  <c r="AY220"/>
  <c r="AZ220" s="1"/>
  <c r="AY219"/>
  <c r="AZ219" s="1"/>
  <c r="AY218"/>
  <c r="AZ218" s="1"/>
  <c r="AY217"/>
  <c r="AZ217" s="1"/>
  <c r="J217"/>
  <c r="J329" s="1"/>
  <c r="L216"/>
  <c r="L327" s="1"/>
  <c r="K215"/>
  <c r="K327" s="1"/>
  <c r="AU214"/>
  <c r="AU327" s="1"/>
  <c r="R214"/>
  <c r="R327" s="1"/>
  <c r="I214"/>
  <c r="AY213"/>
  <c r="AZ213" s="1"/>
  <c r="AY212"/>
  <c r="AZ212" s="1"/>
  <c r="AY211"/>
  <c r="AZ211" s="1"/>
  <c r="AY210"/>
  <c r="AZ210" s="1"/>
  <c r="AY209"/>
  <c r="AZ209" s="1"/>
  <c r="AY208"/>
  <c r="AZ208" s="1"/>
  <c r="O207"/>
  <c r="O327" s="1"/>
  <c r="M207"/>
  <c r="M327" s="1"/>
  <c r="AY206"/>
  <c r="AZ206" s="1"/>
  <c r="AC205"/>
  <c r="AC327" s="1"/>
  <c r="AB205"/>
  <c r="AB327" s="1"/>
  <c r="AA205"/>
  <c r="AA327" s="1"/>
  <c r="AZ204"/>
  <c r="AY204"/>
  <c r="AZ203"/>
  <c r="AY203"/>
  <c r="AZ202"/>
  <c r="AY202"/>
  <c r="AZ201"/>
  <c r="AY201"/>
  <c r="AZ200"/>
  <c r="AY200"/>
  <c r="AZ199"/>
  <c r="AY199"/>
  <c r="J198"/>
  <c r="L197"/>
  <c r="L325" s="1"/>
  <c r="K196"/>
  <c r="AY195"/>
  <c r="AZ195" s="1"/>
  <c r="AY194"/>
  <c r="AZ194" s="1"/>
  <c r="AY193"/>
  <c r="AZ193" s="1"/>
  <c r="AU193"/>
  <c r="AU325" s="1"/>
  <c r="AZ192"/>
  <c r="AY192"/>
  <c r="AZ191"/>
  <c r="AY191"/>
  <c r="R190"/>
  <c r="R325" s="1"/>
  <c r="I190"/>
  <c r="I325" s="1"/>
  <c r="H190"/>
  <c r="AY189"/>
  <c r="AZ189" s="1"/>
  <c r="AY188"/>
  <c r="AZ188" s="1"/>
  <c r="AL187"/>
  <c r="M187"/>
  <c r="M325" s="1"/>
  <c r="M326" s="1"/>
  <c r="AY186"/>
  <c r="AZ186" s="1"/>
  <c r="AY185"/>
  <c r="AZ185" s="1"/>
  <c r="AC184"/>
  <c r="AC325" s="1"/>
  <c r="AB184"/>
  <c r="AB325" s="1"/>
  <c r="AA184"/>
  <c r="AA325" s="1"/>
  <c r="AZ183"/>
  <c r="AY183"/>
  <c r="AZ182"/>
  <c r="AY182"/>
  <c r="AZ181"/>
  <c r="AY181"/>
  <c r="AZ180"/>
  <c r="AY180"/>
  <c r="AZ179"/>
  <c r="AY179"/>
  <c r="AZ178"/>
  <c r="AY178"/>
  <c r="AZ177"/>
  <c r="AY177"/>
  <c r="AZ176"/>
  <c r="AY176"/>
  <c r="AZ175"/>
  <c r="AY175"/>
  <c r="AZ174"/>
  <c r="AY174"/>
  <c r="AZ173"/>
  <c r="AY173"/>
  <c r="AZ172"/>
  <c r="AY172"/>
  <c r="J171"/>
  <c r="L170"/>
  <c r="L323" s="1"/>
  <c r="K169"/>
  <c r="AY168"/>
  <c r="AZ168" s="1"/>
  <c r="AY167"/>
  <c r="AZ167" s="1"/>
  <c r="AY166"/>
  <c r="AZ166" s="1"/>
  <c r="AY165"/>
  <c r="AZ165" s="1"/>
  <c r="AY164"/>
  <c r="AZ164" s="1"/>
  <c r="AY163"/>
  <c r="AZ163" s="1"/>
  <c r="AY162"/>
  <c r="AZ162" s="1"/>
  <c r="M161"/>
  <c r="M323" s="1"/>
  <c r="AY160"/>
  <c r="AZ160" s="1"/>
  <c r="AI159"/>
  <c r="Z159"/>
  <c r="Z298" s="1"/>
  <c r="Y159"/>
  <c r="AC158"/>
  <c r="AC323" s="1"/>
  <c r="AB158"/>
  <c r="AB323" s="1"/>
  <c r="AY157"/>
  <c r="AZ157" s="1"/>
  <c r="R157"/>
  <c r="R323" s="1"/>
  <c r="AZ156"/>
  <c r="AY156"/>
  <c r="J155"/>
  <c r="AY155" s="1"/>
  <c r="AZ155" s="1"/>
  <c r="AY154"/>
  <c r="AZ154" s="1"/>
  <c r="AY153"/>
  <c r="AZ153" s="1"/>
  <c r="AY152"/>
  <c r="AZ152" s="1"/>
  <c r="AY151"/>
  <c r="AZ151" s="1"/>
  <c r="AY150"/>
  <c r="AZ150" s="1"/>
  <c r="AY149"/>
  <c r="AZ149" s="1"/>
  <c r="AY148"/>
  <c r="AZ148" s="1"/>
  <c r="AY147"/>
  <c r="AZ147" s="1"/>
  <c r="J146"/>
  <c r="AY146" s="1"/>
  <c r="AZ146" s="1"/>
  <c r="L145"/>
  <c r="L321" s="1"/>
  <c r="AY144"/>
  <c r="AZ144" s="1"/>
  <c r="K144"/>
  <c r="K321" s="1"/>
  <c r="AZ143"/>
  <c r="AY143"/>
  <c r="AZ142"/>
  <c r="AY142"/>
  <c r="R141"/>
  <c r="AY141" s="1"/>
  <c r="AZ141" s="1"/>
  <c r="AY140"/>
  <c r="AZ140" s="1"/>
  <c r="AY139"/>
  <c r="AZ139" s="1"/>
  <c r="I139"/>
  <c r="AZ138"/>
  <c r="AY138"/>
  <c r="AZ137"/>
  <c r="AY137"/>
  <c r="AZ136"/>
  <c r="AY136"/>
  <c r="AZ135"/>
  <c r="AY135"/>
  <c r="AZ134"/>
  <c r="AY134"/>
  <c r="AZ133"/>
  <c r="AY133"/>
  <c r="AI132"/>
  <c r="R132"/>
  <c r="M132"/>
  <c r="I132"/>
  <c r="M131"/>
  <c r="M321" s="1"/>
  <c r="AC130"/>
  <c r="AC321" s="1"/>
  <c r="AB130"/>
  <c r="AB321" s="1"/>
  <c r="R129"/>
  <c r="R321" s="1"/>
  <c r="AY128"/>
  <c r="AZ128" s="1"/>
  <c r="J127"/>
  <c r="AY127" s="1"/>
  <c r="AZ127" s="1"/>
  <c r="AY126"/>
  <c r="AZ126" s="1"/>
  <c r="AY125"/>
  <c r="AZ125" s="1"/>
  <c r="AY124"/>
  <c r="AZ124" s="1"/>
  <c r="AY123"/>
  <c r="AZ123" s="1"/>
  <c r="AY122"/>
  <c r="AZ122" s="1"/>
  <c r="J122"/>
  <c r="L121"/>
  <c r="L319" s="1"/>
  <c r="K120"/>
  <c r="AY120" s="1"/>
  <c r="AZ120" s="1"/>
  <c r="AY119"/>
  <c r="AZ119" s="1"/>
  <c r="AY118"/>
  <c r="AZ118" s="1"/>
  <c r="AY117"/>
  <c r="AZ117" s="1"/>
  <c r="AY116"/>
  <c r="AZ116" s="1"/>
  <c r="AY115"/>
  <c r="AZ115" s="1"/>
  <c r="AY114"/>
  <c r="AZ114" s="1"/>
  <c r="AY113"/>
  <c r="AZ113" s="1"/>
  <c r="AY112"/>
  <c r="AZ112" s="1"/>
  <c r="AY111"/>
  <c r="AZ111" s="1"/>
  <c r="AY110"/>
  <c r="AZ110" s="1"/>
  <c r="AY109"/>
  <c r="AZ109" s="1"/>
  <c r="AY108"/>
  <c r="AZ108" s="1"/>
  <c r="O107"/>
  <c r="O319" s="1"/>
  <c r="AY106"/>
  <c r="AZ106" s="1"/>
  <c r="AC105"/>
  <c r="AC319" s="1"/>
  <c r="AB105"/>
  <c r="AB319" s="1"/>
  <c r="AY104"/>
  <c r="AZ104" s="1"/>
  <c r="AY103"/>
  <c r="AZ103" s="1"/>
  <c r="AY102"/>
  <c r="AZ102" s="1"/>
  <c r="AY101"/>
  <c r="AZ101" s="1"/>
  <c r="AY100"/>
  <c r="AZ100" s="1"/>
  <c r="AY99"/>
  <c r="AZ99" s="1"/>
  <c r="AY98"/>
  <c r="AZ98" s="1"/>
  <c r="AY97"/>
  <c r="AZ97" s="1"/>
  <c r="L96"/>
  <c r="AY96" s="1"/>
  <c r="AZ96" s="1"/>
  <c r="AY95"/>
  <c r="AZ95" s="1"/>
  <c r="AY94"/>
  <c r="AZ94" s="1"/>
  <c r="AY93"/>
  <c r="AZ93" s="1"/>
  <c r="AY92"/>
  <c r="AZ92" s="1"/>
  <c r="AY91"/>
  <c r="AZ91" s="1"/>
  <c r="AY90"/>
  <c r="AZ90" s="1"/>
  <c r="AY89"/>
  <c r="AZ89" s="1"/>
  <c r="AY88"/>
  <c r="AZ88" s="1"/>
  <c r="AY87"/>
  <c r="AZ87" s="1"/>
  <c r="AY86"/>
  <c r="AZ86" s="1"/>
  <c r="AY85"/>
  <c r="AZ85" s="1"/>
  <c r="O84"/>
  <c r="O317" s="1"/>
  <c r="M84"/>
  <c r="M317" s="1"/>
  <c r="AY83"/>
  <c r="AZ83" s="1"/>
  <c r="AC82"/>
  <c r="AC317" s="1"/>
  <c r="AB82"/>
  <c r="AB317" s="1"/>
  <c r="AY81"/>
  <c r="AZ81" s="1"/>
  <c r="AY80"/>
  <c r="AZ80" s="1"/>
  <c r="AY79"/>
  <c r="AZ79" s="1"/>
  <c r="AY78"/>
  <c r="AZ78" s="1"/>
  <c r="AY77"/>
  <c r="AZ77" s="1"/>
  <c r="AY76"/>
  <c r="AZ76" s="1"/>
  <c r="AY75"/>
  <c r="AZ75" s="1"/>
  <c r="AY74"/>
  <c r="AZ74" s="1"/>
  <c r="AY73"/>
  <c r="AZ73" s="1"/>
  <c r="AY72"/>
  <c r="AZ72" s="1"/>
  <c r="AY71"/>
  <c r="AZ71" s="1"/>
  <c r="AY70"/>
  <c r="AZ70" s="1"/>
  <c r="AY69"/>
  <c r="AZ69" s="1"/>
  <c r="AY68"/>
  <c r="AZ68" s="1"/>
  <c r="AY67"/>
  <c r="AZ67" s="1"/>
  <c r="AY66"/>
  <c r="AZ66" s="1"/>
  <c r="AY65"/>
  <c r="AZ65" s="1"/>
  <c r="AY64"/>
  <c r="AZ64" s="1"/>
  <c r="AY63"/>
  <c r="AZ63" s="1"/>
  <c r="AY62"/>
  <c r="AZ62" s="1"/>
  <c r="AY61"/>
  <c r="AZ61" s="1"/>
  <c r="AC60"/>
  <c r="AC315" s="1"/>
  <c r="AB60"/>
  <c r="AB315" s="1"/>
  <c r="AY59"/>
  <c r="AZ59" s="1"/>
  <c r="AY58"/>
  <c r="AZ58" s="1"/>
  <c r="AY57"/>
  <c r="AZ57" s="1"/>
  <c r="R56"/>
  <c r="R315" s="1"/>
  <c r="AY55"/>
  <c r="AZ55" s="1"/>
  <c r="AY54"/>
  <c r="AZ54" s="1"/>
  <c r="AY53"/>
  <c r="AZ53" s="1"/>
  <c r="AY52"/>
  <c r="AZ52" s="1"/>
  <c r="AY51"/>
  <c r="AZ51" s="1"/>
  <c r="AY50"/>
  <c r="AZ50" s="1"/>
  <c r="AY49"/>
  <c r="AZ49" s="1"/>
  <c r="AY48"/>
  <c r="AZ48" s="1"/>
  <c r="AY47"/>
  <c r="AZ47" s="1"/>
  <c r="R46"/>
  <c r="AY46" s="1"/>
  <c r="AZ46" s="1"/>
  <c r="AY45"/>
  <c r="AZ45" s="1"/>
  <c r="R44"/>
  <c r="AY44" s="1"/>
  <c r="AZ44" s="1"/>
  <c r="AY43"/>
  <c r="AZ43" s="1"/>
  <c r="AY42"/>
  <c r="AZ42" s="1"/>
  <c r="O41"/>
  <c r="M41"/>
  <c r="AY40"/>
  <c r="AZ40" s="1"/>
  <c r="AC39"/>
  <c r="AC313" s="1"/>
  <c r="AB39"/>
  <c r="AY38"/>
  <c r="AZ38" s="1"/>
  <c r="AY37"/>
  <c r="AZ37" s="1"/>
  <c r="AY36"/>
  <c r="AZ36" s="1"/>
  <c r="AY35"/>
  <c r="AZ35" s="1"/>
  <c r="AY34"/>
  <c r="AZ34" s="1"/>
  <c r="AY33"/>
  <c r="AZ33" s="1"/>
  <c r="AY32"/>
  <c r="AZ32" s="1"/>
  <c r="AY31"/>
  <c r="AZ31" s="1"/>
  <c r="AY30"/>
  <c r="AZ30" s="1"/>
  <c r="AY29"/>
  <c r="AZ29" s="1"/>
  <c r="AY28"/>
  <c r="AZ28" s="1"/>
  <c r="AY27"/>
  <c r="AZ27" s="1"/>
  <c r="AY26"/>
  <c r="AZ26" s="1"/>
  <c r="AY25"/>
  <c r="AZ25" s="1"/>
  <c r="AO25"/>
  <c r="AZ24"/>
  <c r="AY24"/>
  <c r="AZ23"/>
  <c r="AY23"/>
  <c r="AZ22"/>
  <c r="AY22"/>
  <c r="AZ21"/>
  <c r="AY21"/>
  <c r="AZ20"/>
  <c r="AY20"/>
  <c r="AZ19"/>
  <c r="AY19"/>
  <c r="AZ18"/>
  <c r="AY18"/>
  <c r="AZ17"/>
  <c r="AY17"/>
  <c r="AZ16"/>
  <c r="AY16"/>
  <c r="AZ15"/>
  <c r="AY15"/>
  <c r="AC14"/>
  <c r="AY14" s="1"/>
  <c r="AZ14" s="1"/>
  <c r="AY13"/>
  <c r="AZ13" s="1"/>
  <c r="AY12"/>
  <c r="AZ12" s="1"/>
  <c r="AY11"/>
  <c r="AZ11" s="1"/>
  <c r="AY10"/>
  <c r="AZ10" s="1"/>
  <c r="AY9"/>
  <c r="AZ9" s="1"/>
  <c r="AY8"/>
  <c r="AZ8" s="1"/>
  <c r="AY7"/>
  <c r="AZ7" s="1"/>
  <c r="AY6"/>
  <c r="AZ6" s="1"/>
  <c r="AY5"/>
  <c r="AZ5" s="1"/>
  <c r="M322" l="1"/>
  <c r="AY129"/>
  <c r="AZ129" s="1"/>
  <c r="AY161"/>
  <c r="AZ161" s="1"/>
  <c r="AY170"/>
  <c r="AZ170" s="1"/>
  <c r="AA326"/>
  <c r="AL298"/>
  <c r="AY197"/>
  <c r="AZ197" s="1"/>
  <c r="M328"/>
  <c r="AY215"/>
  <c r="AZ215" s="1"/>
  <c r="AA330"/>
  <c r="AY228"/>
  <c r="AZ228" s="1"/>
  <c r="AY245"/>
  <c r="AZ245" s="1"/>
  <c r="AY275"/>
  <c r="AZ275" s="1"/>
  <c r="AY277"/>
  <c r="AZ277" s="1"/>
  <c r="T312"/>
  <c r="T314"/>
  <c r="AF314"/>
  <c r="AH314"/>
  <c r="T316"/>
  <c r="AF316"/>
  <c r="AH316"/>
  <c r="T318"/>
  <c r="AF318"/>
  <c r="AH318"/>
  <c r="T320"/>
  <c r="AF320"/>
  <c r="AH320"/>
  <c r="Y322"/>
  <c r="T324"/>
  <c r="AF324"/>
  <c r="Y326"/>
  <c r="AF326"/>
  <c r="AH326"/>
  <c r="T328"/>
  <c r="Y330"/>
  <c r="AF330"/>
  <c r="AH330"/>
  <c r="T332"/>
  <c r="Y334"/>
  <c r="U32" i="2"/>
  <c r="R43"/>
  <c r="R59"/>
  <c r="U98"/>
  <c r="K150"/>
  <c r="J158"/>
  <c r="R113"/>
  <c r="R114"/>
  <c r="U116" s="1"/>
  <c r="L149"/>
  <c r="N149"/>
  <c r="Q149"/>
  <c r="E16" i="3"/>
  <c r="E17" s="1"/>
  <c r="E18" s="1"/>
  <c r="E19" s="1"/>
  <c r="E20" s="1"/>
  <c r="E21" s="1"/>
  <c r="E22" s="1"/>
  <c r="E24" i="4" s="1"/>
  <c r="AO311" i="1"/>
  <c r="AO298"/>
  <c r="O313"/>
  <c r="O298"/>
  <c r="L298"/>
  <c r="L317"/>
  <c r="AY318" s="1"/>
  <c r="K319"/>
  <c r="K298"/>
  <c r="J298"/>
  <c r="J321"/>
  <c r="I321"/>
  <c r="I298"/>
  <c r="Y323"/>
  <c r="Y298"/>
  <c r="AY159"/>
  <c r="AZ159" s="1"/>
  <c r="AI323"/>
  <c r="AI302"/>
  <c r="H298"/>
  <c r="H325"/>
  <c r="K325"/>
  <c r="AY196"/>
  <c r="AZ196" s="1"/>
  <c r="J327"/>
  <c r="AY198"/>
  <c r="AZ198" s="1"/>
  <c r="I327"/>
  <c r="AY327" s="1"/>
  <c r="AY214"/>
  <c r="AZ214" s="1"/>
  <c r="J332"/>
  <c r="AY332"/>
  <c r="AY56"/>
  <c r="AZ56" s="1"/>
  <c r="AY60"/>
  <c r="AZ60" s="1"/>
  <c r="AY82"/>
  <c r="AZ82" s="1"/>
  <c r="M318"/>
  <c r="AY84"/>
  <c r="AZ84" s="1"/>
  <c r="AY107"/>
  <c r="AZ107" s="1"/>
  <c r="AY121"/>
  <c r="AZ121" s="1"/>
  <c r="AY131"/>
  <c r="AZ131" s="1"/>
  <c r="AY132"/>
  <c r="AZ132" s="1"/>
  <c r="AY145"/>
  <c r="AZ145" s="1"/>
  <c r="J323"/>
  <c r="M324"/>
  <c r="AY184"/>
  <c r="AZ184" s="1"/>
  <c r="AA328"/>
  <c r="AA332"/>
  <c r="AA314"/>
  <c r="AY316"/>
  <c r="AA316"/>
  <c r="AA318"/>
  <c r="AY320"/>
  <c r="AA320"/>
  <c r="AA324"/>
  <c r="M330"/>
  <c r="AY331"/>
  <c r="AZ331" s="1"/>
  <c r="AH334"/>
  <c r="U91" i="2"/>
  <c r="E26" i="4"/>
  <c r="AC311" i="1"/>
  <c r="AY311" s="1"/>
  <c r="AC298"/>
  <c r="AB298"/>
  <c r="AB313"/>
  <c r="M313"/>
  <c r="M314" s="1"/>
  <c r="M298"/>
  <c r="R298"/>
  <c r="R313"/>
  <c r="AI321"/>
  <c r="AH322" s="1"/>
  <c r="AI303"/>
  <c r="AI304" s="1"/>
  <c r="AI298"/>
  <c r="AH300" s="1"/>
  <c r="K323"/>
  <c r="AY169"/>
  <c r="AZ169" s="1"/>
  <c r="J325"/>
  <c r="AY171"/>
  <c r="AZ171" s="1"/>
  <c r="AY330"/>
  <c r="J330"/>
  <c r="J334"/>
  <c r="AY334"/>
  <c r="AY39"/>
  <c r="AZ39" s="1"/>
  <c r="AY41"/>
  <c r="AZ41" s="1"/>
  <c r="AY105"/>
  <c r="AZ105" s="1"/>
  <c r="AY130"/>
  <c r="AZ130" s="1"/>
  <c r="AY158"/>
  <c r="AZ158" s="1"/>
  <c r="AY187"/>
  <c r="AZ187" s="1"/>
  <c r="AY205"/>
  <c r="AZ205" s="1"/>
  <c r="AY207"/>
  <c r="AZ207" s="1"/>
  <c r="AY329"/>
  <c r="M334"/>
  <c r="AY313"/>
  <c r="AY315"/>
  <c r="M316"/>
  <c r="AY319"/>
  <c r="M320"/>
  <c r="AA322"/>
  <c r="AH324"/>
  <c r="M332"/>
  <c r="AY190"/>
  <c r="AZ190" s="1"/>
  <c r="AY216"/>
  <c r="AZ216" s="1"/>
  <c r="AY226"/>
  <c r="AZ226" s="1"/>
  <c r="AY235"/>
  <c r="AZ235" s="1"/>
  <c r="AY244"/>
  <c r="AZ244" s="1"/>
  <c r="AY254"/>
  <c r="AZ254" s="1"/>
  <c r="AY270"/>
  <c r="AZ270" s="1"/>
  <c r="AY272"/>
  <c r="AZ272" s="1"/>
  <c r="AY281"/>
  <c r="AZ281" s="1"/>
  <c r="AY283"/>
  <c r="AZ283" s="1"/>
  <c r="AY288"/>
  <c r="AZ288" s="1"/>
  <c r="AY295"/>
  <c r="AZ295" s="1"/>
  <c r="AA298"/>
  <c r="AU298"/>
  <c r="J312"/>
  <c r="J314"/>
  <c r="J316"/>
  <c r="J318"/>
  <c r="J320"/>
  <c r="Z323"/>
  <c r="AL325"/>
  <c r="AY325" s="1"/>
  <c r="I333"/>
  <c r="AY333" s="1"/>
  <c r="X112" i="2"/>
  <c r="V135"/>
  <c r="J145"/>
  <c r="T146" s="1"/>
  <c r="U146" s="1"/>
  <c r="P145"/>
  <c r="F149"/>
  <c r="H149"/>
  <c r="P158"/>
  <c r="P150" s="1"/>
  <c r="J160"/>
  <c r="J161"/>
  <c r="J150" s="1"/>
  <c r="F16" i="3"/>
  <c r="F24" s="1"/>
  <c r="N298" i="1"/>
  <c r="AF298"/>
  <c r="AT298"/>
  <c r="AU304"/>
  <c r="R125" i="2"/>
  <c r="R146" s="1"/>
  <c r="R131"/>
  <c r="T133" s="1"/>
  <c r="K145"/>
  <c r="K149" s="1"/>
  <c r="AU307" i="1" l="1"/>
  <c r="AZ298"/>
  <c r="E12" i="4"/>
  <c r="E14" s="1"/>
  <c r="I26" i="3"/>
  <c r="AY324" i="1"/>
  <c r="J324"/>
  <c r="AY328"/>
  <c r="J328"/>
  <c r="E7" i="4"/>
  <c r="E8" s="1"/>
  <c r="H300" i="1"/>
  <c r="AY300"/>
  <c r="I303"/>
  <c r="AY322"/>
  <c r="J322"/>
  <c r="AG303"/>
  <c r="AF300"/>
  <c r="AY326"/>
  <c r="J326"/>
  <c r="AY301"/>
  <c r="AY303"/>
  <c r="J300"/>
  <c r="AY298"/>
  <c r="P149" i="2"/>
  <c r="R148"/>
  <c r="R145"/>
  <c r="AA312" i="1"/>
  <c r="AJ304"/>
  <c r="R147" i="2"/>
  <c r="T145"/>
  <c r="J149"/>
  <c r="AA300" i="1"/>
  <c r="AY323"/>
  <c r="AY317"/>
  <c r="AY312"/>
  <c r="AY299"/>
  <c r="M300"/>
  <c r="AY314"/>
  <c r="Y324"/>
  <c r="AY321"/>
  <c r="AY336" s="1"/>
  <c r="AZ336" s="1"/>
  <c r="E16" i="4" l="1"/>
  <c r="G26" s="1"/>
</calcChain>
</file>

<file path=xl/comments1.xml><?xml version="1.0" encoding="utf-8"?>
<comments xmlns="http://schemas.openxmlformats.org/spreadsheetml/2006/main">
  <authors>
    <author>Brundall Deputy</author>
    <author>Claudia Dickson</author>
  </authors>
  <commentList>
    <comment ref="AU116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insurance payment</t>
        </r>
      </text>
    </comment>
    <comment ref="AU124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Cemetery reserves</t>
        </r>
      </text>
    </comment>
    <comment ref="AU137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Cemetery reserves</t>
        </r>
      </text>
    </comment>
    <comment ref="AU139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Cemetery reserves</t>
        </r>
      </text>
    </comment>
    <comment ref="Y159" authorId="1">
      <text>
        <r>
          <rPr>
            <b/>
            <sz val="9"/>
            <color indexed="81"/>
            <rFont val="Tahoma"/>
            <family val="2"/>
          </rPr>
          <t>Claudia Dickson:
£104.12 for new Security post at allotments and new post at MH for bin
£20 for replacing inlet filling valve in allotment toilet
£12 for removing Cemetery gate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6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insurance payment
</t>
        </r>
      </text>
    </comment>
    <comment ref="AU177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insurance payment
</t>
        </r>
      </text>
    </comment>
    <comment ref="AU179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insurance payment
</t>
        </r>
      </text>
    </comment>
    <comment ref="AV191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? To come out of LM budget</t>
        </r>
      </text>
    </comment>
    <comment ref="AU193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insurance payment
</t>
        </r>
      </text>
    </comment>
    <comment ref="AU194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Cemetery reserves
</t>
        </r>
      </text>
    </comment>
    <comment ref="AU214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To come from insurance payment
£288.50 traffic lights
£26.65 reed screen</t>
        </r>
      </text>
    </comment>
    <comment ref="AU232" authorId="1">
      <text>
        <r>
          <rPr>
            <b/>
            <sz val="9"/>
            <color indexed="81"/>
            <rFont val="Tahoma"/>
            <family val="2"/>
          </rPr>
          <t>Claudia Dickson:</t>
        </r>
        <r>
          <rPr>
            <sz val="9"/>
            <color indexed="81"/>
            <rFont val="Tahoma"/>
            <family val="2"/>
          </rPr>
          <t xml:space="preserve">
To come from insurance payout</t>
        </r>
      </text>
    </comment>
    <comment ref="AV240" authorId="0">
      <text>
        <r>
          <rPr>
            <b/>
            <sz val="9"/>
            <color indexed="81"/>
            <rFont val="Tahoma"/>
            <family val="2"/>
          </rPr>
          <t>Brundall Deputy:</t>
        </r>
        <r>
          <rPr>
            <sz val="9"/>
            <color indexed="81"/>
            <rFont val="Tahoma"/>
            <family val="2"/>
          </rPr>
          <t xml:space="preserve">
Resbumission of planning application on BRU3</t>
        </r>
      </text>
    </comment>
  </commentList>
</comments>
</file>

<file path=xl/comments2.xml><?xml version="1.0" encoding="utf-8"?>
<comments xmlns="http://schemas.openxmlformats.org/spreadsheetml/2006/main">
  <authors>
    <author>Claudia Dickson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Claudia Dickson:</t>
        </r>
        <r>
          <rPr>
            <sz val="9"/>
            <color indexed="81"/>
            <rFont val="Tahoma"/>
            <family val="2"/>
          </rPr>
          <t xml:space="preserve">
Had to round this down to make the whole thing agree with Broadland</t>
        </r>
      </text>
    </comment>
  </commentList>
</comments>
</file>

<file path=xl/sharedStrings.xml><?xml version="1.0" encoding="utf-8"?>
<sst xmlns="http://schemas.openxmlformats.org/spreadsheetml/2006/main" count="1813" uniqueCount="952">
  <si>
    <t>Brundall Parish Council</t>
  </si>
  <si>
    <t>Year ended 31st March 2020</t>
  </si>
  <si>
    <t xml:space="preserve"> </t>
  </si>
  <si>
    <t>M View</t>
  </si>
  <si>
    <t>PAYMENTS</t>
  </si>
  <si>
    <t>Norfolk</t>
  </si>
  <si>
    <t>Office</t>
  </si>
  <si>
    <t>Insurance</t>
  </si>
  <si>
    <t>Handyman/</t>
  </si>
  <si>
    <t>Grass NCC</t>
  </si>
  <si>
    <t>Mem Hall</t>
  </si>
  <si>
    <t>Land</t>
  </si>
  <si>
    <t>Pension</t>
  </si>
  <si>
    <t>O2</t>
  </si>
  <si>
    <t>Equipment</t>
  </si>
  <si>
    <t>Room/</t>
  </si>
  <si>
    <t>Audit</t>
  </si>
  <si>
    <t>Subscriptions</t>
  </si>
  <si>
    <t>Chairman's</t>
  </si>
  <si>
    <t>Repairs</t>
  </si>
  <si>
    <t>Cleaning</t>
  </si>
  <si>
    <t>Highways</t>
  </si>
  <si>
    <t>PC Grass</t>
  </si>
  <si>
    <t>Cemetery</t>
  </si>
  <si>
    <t>Grass</t>
  </si>
  <si>
    <t xml:space="preserve">Play </t>
  </si>
  <si>
    <t>Church</t>
  </si>
  <si>
    <t>Tree</t>
  </si>
  <si>
    <t>Refuse</t>
  </si>
  <si>
    <t>Bank</t>
  </si>
  <si>
    <t>Planning</t>
  </si>
  <si>
    <t>Grants/</t>
  </si>
  <si>
    <t>S137</t>
  </si>
  <si>
    <t>Street</t>
  </si>
  <si>
    <t>Contingencies</t>
  </si>
  <si>
    <t>Projects</t>
  </si>
  <si>
    <t>Total</t>
  </si>
  <si>
    <t>Date</t>
  </si>
  <si>
    <t>No</t>
  </si>
  <si>
    <t>Payment Type</t>
  </si>
  <si>
    <t>Payee</t>
  </si>
  <si>
    <t>Details</t>
  </si>
  <si>
    <t>Rec</t>
  </si>
  <si>
    <t>total</t>
  </si>
  <si>
    <t>vat</t>
  </si>
  <si>
    <t>Salaries</t>
  </si>
  <si>
    <t>HMRC</t>
  </si>
  <si>
    <t>Fund</t>
  </si>
  <si>
    <t>Mileage</t>
  </si>
  <si>
    <t>Telephone</t>
  </si>
  <si>
    <t>Mobile</t>
  </si>
  <si>
    <t>Maintenance</t>
  </si>
  <si>
    <t>Admin</t>
  </si>
  <si>
    <t>Hall Hire</t>
  </si>
  <si>
    <t>Fees</t>
  </si>
  <si>
    <t>Training</t>
  </si>
  <si>
    <t>Allowance</t>
  </si>
  <si>
    <t>Members</t>
  </si>
  <si>
    <t>Renewals</t>
  </si>
  <si>
    <t>Inspection</t>
  </si>
  <si>
    <t>Del functions</t>
  </si>
  <si>
    <t>Cutting</t>
  </si>
  <si>
    <t>Grass C park</t>
  </si>
  <si>
    <t>Cremers</t>
  </si>
  <si>
    <t>Water</t>
  </si>
  <si>
    <t>C Park</t>
  </si>
  <si>
    <t>Allotments</t>
  </si>
  <si>
    <t>contingency</t>
  </si>
  <si>
    <t>Fen</t>
  </si>
  <si>
    <t>Warden</t>
  </si>
  <si>
    <t>Collection</t>
  </si>
  <si>
    <t>Charges</t>
  </si>
  <si>
    <t>Expenses</t>
  </si>
  <si>
    <t>Donation</t>
  </si>
  <si>
    <t>Donations</t>
  </si>
  <si>
    <t>Lights</t>
  </si>
  <si>
    <t>Reserves</t>
  </si>
  <si>
    <t>Youth F</t>
  </si>
  <si>
    <t>S106 Res</t>
  </si>
  <si>
    <t>SO</t>
  </si>
  <si>
    <t>Sharon Smyth</t>
  </si>
  <si>
    <t>salary April 2019</t>
  </si>
  <si>
    <t>y</t>
  </si>
  <si>
    <t>DD</t>
  </si>
  <si>
    <t>Currys</t>
  </si>
  <si>
    <t>repair plan installment</t>
  </si>
  <si>
    <t>BT</t>
  </si>
  <si>
    <t>telephone March 19</t>
  </si>
  <si>
    <t>E.ON</t>
  </si>
  <si>
    <t>electricity March 19</t>
  </si>
  <si>
    <t>HSBC Credit Card</t>
  </si>
  <si>
    <t>business cards</t>
  </si>
  <si>
    <t>IP1103</t>
  </si>
  <si>
    <t>PAYE April 2019</t>
  </si>
  <si>
    <t>IP1105</t>
  </si>
  <si>
    <t>Claudia Dickson</t>
  </si>
  <si>
    <t>IP1106</t>
  </si>
  <si>
    <t>Yare Valley Churches</t>
  </si>
  <si>
    <t>room hire April 2019</t>
  </si>
  <si>
    <t>IP1107</t>
  </si>
  <si>
    <t>Brundall Memorial Hall</t>
  </si>
  <si>
    <t>office and room hire March 2019</t>
  </si>
  <si>
    <t>IP1108</t>
  </si>
  <si>
    <t>Garden Guardian</t>
  </si>
  <si>
    <t>grass cutting March 2019</t>
  </si>
  <si>
    <t>IP1109</t>
  </si>
  <si>
    <t>Bruce's Home Maintenance</t>
  </si>
  <si>
    <t>handyman services April 2019</t>
  </si>
  <si>
    <t>salary underpayment</t>
  </si>
  <si>
    <t>IP1110</t>
  </si>
  <si>
    <t>expenses April 2019</t>
  </si>
  <si>
    <t>IP1111</t>
  </si>
  <si>
    <t>expenses April 2019 - laptop &amp; Office</t>
  </si>
  <si>
    <t>IP1112</t>
  </si>
  <si>
    <t>Gill Buckley</t>
  </si>
  <si>
    <t>Cremer's meeting expenses</t>
  </si>
  <si>
    <t>IP1114</t>
  </si>
  <si>
    <t>Norfolk Pension Fund</t>
  </si>
  <si>
    <t>underpayment 2018-19</t>
  </si>
  <si>
    <t>IP1115</t>
  </si>
  <si>
    <t>Broads (2006) I D B</t>
  </si>
  <si>
    <t>drainage rates 2019-20</t>
  </si>
  <si>
    <t>IP1116</t>
  </si>
  <si>
    <t>Stuart Hutcheson</t>
  </si>
  <si>
    <t>website &amp; email hosting to 12/2/2020</t>
  </si>
  <si>
    <t>IP1117</t>
  </si>
  <si>
    <t>Norfolk County Council</t>
  </si>
  <si>
    <t>Countryside Park and Allotments rent to 5/4/2019</t>
  </si>
  <si>
    <t>IP1118</t>
  </si>
  <si>
    <t>Norfolk Association of Local Councils</t>
  </si>
  <si>
    <t>annual subscription</t>
  </si>
  <si>
    <t>IP1119</t>
  </si>
  <si>
    <t>+IP1120</t>
  </si>
  <si>
    <t>Broadland District Council</t>
  </si>
  <si>
    <t>waste collection Countryside Park &amp; Memorial Hall</t>
  </si>
  <si>
    <t>IP1121</t>
  </si>
  <si>
    <t>John Hudson</t>
  </si>
  <si>
    <t>post &amp; Cemetery gate</t>
  </si>
  <si>
    <t>IP1122</t>
  </si>
  <si>
    <t>Pearce &amp; Kemp Ltd</t>
  </si>
  <si>
    <t>streetlight inspection &amp; report</t>
  </si>
  <si>
    <t>IP1123</t>
  </si>
  <si>
    <t>Rob Aram</t>
  </si>
  <si>
    <t>Cremer's quay repair</t>
  </si>
  <si>
    <t>Anglian Water</t>
  </si>
  <si>
    <t>water charges Allotments</t>
  </si>
  <si>
    <t>IP1104</t>
  </si>
  <si>
    <t>pension contributions S Smyth</t>
  </si>
  <si>
    <t>pension contributions C Dickson</t>
  </si>
  <si>
    <t>IP1126</t>
  </si>
  <si>
    <t>salary May 19</t>
  </si>
  <si>
    <t>IP1127</t>
  </si>
  <si>
    <t>St Lawrence Centre hire 3rd, 25th &amp; 26th April</t>
  </si>
  <si>
    <t>IP1129</t>
  </si>
  <si>
    <t>grass cutting April 19</t>
  </si>
  <si>
    <t>IP1130</t>
  </si>
  <si>
    <t>expenses May 2019</t>
  </si>
  <si>
    <t>IP1131</t>
  </si>
  <si>
    <t>IP1132</t>
  </si>
  <si>
    <t>table &amp; cloth for Cremer's</t>
  </si>
  <si>
    <t>IP1133</t>
  </si>
  <si>
    <t>Viking</t>
  </si>
  <si>
    <t>toner</t>
  </si>
  <si>
    <t>IP1134</t>
  </si>
  <si>
    <t>Legal fees for Sports Hub</t>
  </si>
  <si>
    <t>IP1124</t>
  </si>
  <si>
    <t>PAYE &amp; NI May 2019</t>
  </si>
  <si>
    <t>salary May 2019</t>
  </si>
  <si>
    <t>telephone May 19</t>
  </si>
  <si>
    <t>IP1128</t>
  </si>
  <si>
    <t>office and room hire April 2019</t>
  </si>
  <si>
    <t>IP1125</t>
  </si>
  <si>
    <t>IP1148</t>
  </si>
  <si>
    <t>handyman services May 2019</t>
  </si>
  <si>
    <t>electricity May 19</t>
  </si>
  <si>
    <t>Credit Card</t>
  </si>
  <si>
    <t>IP1137</t>
  </si>
  <si>
    <t>salary Jun 19</t>
  </si>
  <si>
    <t>IP1138</t>
  </si>
  <si>
    <t>room hire 13th, 14th, 21st May 2019</t>
  </si>
  <si>
    <t>IP1139</t>
  </si>
  <si>
    <t>office hire May 19</t>
  </si>
  <si>
    <t>IP1140</t>
  </si>
  <si>
    <t>grass cutting May 2019</t>
  </si>
  <si>
    <t>IP1141</t>
  </si>
  <si>
    <t>handyman services Jun 2019</t>
  </si>
  <si>
    <t>IP1142</t>
  </si>
  <si>
    <t>expenses June 2019</t>
  </si>
  <si>
    <t>IP1143</t>
  </si>
  <si>
    <t>IP1144</t>
  </si>
  <si>
    <t>+IP1154</t>
  </si>
  <si>
    <t>toner &amp; ink cartridges</t>
  </si>
  <si>
    <t>IP1145</t>
  </si>
  <si>
    <t>Pauline James</t>
  </si>
  <si>
    <t>internal audit 2018/19</t>
  </si>
  <si>
    <t>IP1146</t>
  </si>
  <si>
    <t>Norfolk Parish Training &amp; Support</t>
  </si>
  <si>
    <t>footpaths course S Smyth</t>
  </si>
  <si>
    <t>IP1147</t>
  </si>
  <si>
    <t>David Pilch</t>
  </si>
  <si>
    <t>wheelbarrow wheel</t>
  </si>
  <si>
    <t>IP1149</t>
  </si>
  <si>
    <t>+IP1150</t>
  </si>
  <si>
    <t>Cozens</t>
  </si>
  <si>
    <t>Monthly maintenance &amp; make safe damaged column</t>
  </si>
  <si>
    <t>IP1153</t>
  </si>
  <si>
    <t>Cllr J Warns</t>
  </si>
  <si>
    <t>mileage for visit to Ketts Park</t>
  </si>
  <si>
    <t>IP1152</t>
  </si>
  <si>
    <t>S&amp;C Slatter Ltd</t>
  </si>
  <si>
    <t>50% planning expenses</t>
  </si>
  <si>
    <t>IP1135</t>
  </si>
  <si>
    <t>PAYE &amp; NI June 2019</t>
  </si>
  <si>
    <t>IP1136</t>
  </si>
  <si>
    <t>telephone June 19</t>
  </si>
  <si>
    <t>electricity June 19</t>
  </si>
  <si>
    <t>IP1157</t>
  </si>
  <si>
    <t>salary Jul 19</t>
  </si>
  <si>
    <t>IP1158</t>
  </si>
  <si>
    <t>+IP1166</t>
  </si>
  <si>
    <t>St Lawrence Centre hire 24th June and 22nd July 2019</t>
  </si>
  <si>
    <t>IP1159</t>
  </si>
  <si>
    <t>office rent Jun 19</t>
  </si>
  <si>
    <t>IP1160</t>
  </si>
  <si>
    <t>grass cutting June 2019</t>
  </si>
  <si>
    <t>IP1161</t>
  </si>
  <si>
    <t>handyman services Jul 19</t>
  </si>
  <si>
    <t>IP1162</t>
  </si>
  <si>
    <t>expenses July 2019</t>
  </si>
  <si>
    <t>IP1163</t>
  </si>
  <si>
    <t>IP1164</t>
  </si>
  <si>
    <t>2nd Brundall Scouts</t>
  </si>
  <si>
    <t>Scout Hut hire 4th, 6th, 13th, 14th June</t>
  </si>
  <si>
    <t>IP1165</t>
  </si>
  <si>
    <t>Brundall Home Hardware</t>
  </si>
  <si>
    <t>drawing pins &amp; mortice key</t>
  </si>
  <si>
    <t>IP1167</t>
  </si>
  <si>
    <t>monthly maintenance Jul 19</t>
  </si>
  <si>
    <t>IP1169</t>
  </si>
  <si>
    <t>litter bin and dog waste bin emptying 2019/20</t>
  </si>
  <si>
    <t>IP1181</t>
  </si>
  <si>
    <t>grant for tents</t>
  </si>
  <si>
    <t>IP1183</t>
  </si>
  <si>
    <t>S137 dontation for Braydeston churchyard maintenance</t>
  </si>
  <si>
    <t>Wave</t>
  </si>
  <si>
    <t>water charges Cemetery</t>
  </si>
  <si>
    <t>IP1155</t>
  </si>
  <si>
    <t>PAYE &amp; NI July 2019</t>
  </si>
  <si>
    <t>IP1156</t>
  </si>
  <si>
    <t>pension contributions S Smyth &amp; C Dickson, inc 3p underpayment</t>
  </si>
  <si>
    <t>salary August 2019</t>
  </si>
  <si>
    <t>telephone July 19</t>
  </si>
  <si>
    <t>IP1182</t>
  </si>
  <si>
    <t>Brundall Football &amp; Sports Club</t>
  </si>
  <si>
    <t>grant for courses</t>
  </si>
  <si>
    <t>electricity July 19</t>
  </si>
  <si>
    <t>IP1188</t>
  </si>
  <si>
    <t>Rivers Engineering</t>
  </si>
  <si>
    <t>Church Fen boarwalk repair</t>
  </si>
  <si>
    <t>IP1172</t>
  </si>
  <si>
    <t>salary Aug 19</t>
  </si>
  <si>
    <t>IP1173</t>
  </si>
  <si>
    <t>St Lawrence Centre hire 234d July and 15th August 2019</t>
  </si>
  <si>
    <t>IP1175</t>
  </si>
  <si>
    <t>grass cutting July 2019 and Church Fen foothpath</t>
  </si>
  <si>
    <t>IP1176</t>
  </si>
  <si>
    <t>handyman services Aug 19</t>
  </si>
  <si>
    <t>IP1177</t>
  </si>
  <si>
    <t>expenses August 2019</t>
  </si>
  <si>
    <t>IP1178</t>
  </si>
  <si>
    <t>IP1179</t>
  </si>
  <si>
    <t>monthly maintenance August 19</t>
  </si>
  <si>
    <t>IP1180</t>
  </si>
  <si>
    <t>punched pockets and parcel tape</t>
  </si>
  <si>
    <t>IP1185</t>
  </si>
  <si>
    <t>Village Green Pod</t>
  </si>
  <si>
    <t>room hire 4th, 7th, 17th, 20th June, 9th July</t>
  </si>
  <si>
    <t>IP1186</t>
  </si>
  <si>
    <t>Tri-Sports Consultancy Ltd</t>
  </si>
  <si>
    <t>Funding report</t>
  </si>
  <si>
    <t>IP1187</t>
  </si>
  <si>
    <t>donation for the Yare Valley Voice</t>
  </si>
  <si>
    <t>IP1189</t>
  </si>
  <si>
    <t>Ravenscroft Tree Servies</t>
  </si>
  <si>
    <t>report on a Cremer's poplar</t>
  </si>
  <si>
    <t>IP1190</t>
  </si>
  <si>
    <t>Greg Chandler</t>
  </si>
  <si>
    <t>photos</t>
  </si>
  <si>
    <t>IP1184</t>
  </si>
  <si>
    <t>+IP1191</t>
  </si>
  <si>
    <t>Queensbury Shelters</t>
  </si>
  <si>
    <t>removal of damaged bus shelter &amp; retention</t>
  </si>
  <si>
    <t>DD0905</t>
  </si>
  <si>
    <t>VAT underpayment</t>
  </si>
  <si>
    <t>IP1203</t>
  </si>
  <si>
    <t>PJ McDonnell (Gardening Gopher)</t>
  </si>
  <si>
    <t>post replacement and bench refurbishments</t>
  </si>
  <si>
    <t>IP1170</t>
  </si>
  <si>
    <t>PAYE &amp; NI August 2019</t>
  </si>
  <si>
    <t>IP1171</t>
  </si>
  <si>
    <t>pension contributions S Smyth &amp; C Dickson</t>
  </si>
  <si>
    <t>DD0904</t>
  </si>
  <si>
    <t>salary September 2019</t>
  </si>
  <si>
    <t>DD0903</t>
  </si>
  <si>
    <t>IP1207</t>
  </si>
  <si>
    <t>Pilgrim Home &amp; Property Maintenance</t>
  </si>
  <si>
    <t>deposit for Cemetery works</t>
  </si>
  <si>
    <t>DD0901</t>
  </si>
  <si>
    <t>telephone August 19</t>
  </si>
  <si>
    <t>DD0902</t>
  </si>
  <si>
    <t>electricity August 19</t>
  </si>
  <si>
    <t>IP1194</t>
  </si>
  <si>
    <t>IP1195</t>
  </si>
  <si>
    <t>+IP1205</t>
  </si>
  <si>
    <t>St Lawrence Centre hire 19th August &amp; 23rd September 2019</t>
  </si>
  <si>
    <t>IP1196</t>
  </si>
  <si>
    <t>+IP1204</t>
  </si>
  <si>
    <t>office rent July &amp; August 19</t>
  </si>
  <si>
    <t>IP1197</t>
  </si>
  <si>
    <t>grass cutting August 2019</t>
  </si>
  <si>
    <t>IP1199</t>
  </si>
  <si>
    <t>expenses September 2019</t>
  </si>
  <si>
    <t>IP1200</t>
  </si>
  <si>
    <t>IP1201</t>
  </si>
  <si>
    <t>monthly maintenance September 19</t>
  </si>
  <si>
    <t>IP1206</t>
  </si>
  <si>
    <t>CommuniCorp</t>
  </si>
  <si>
    <t>Clerks &amp; Councils Direct subscription</t>
  </si>
  <si>
    <t>IP1209</t>
  </si>
  <si>
    <t>Tree Care &amp; Conservation (L Southon)</t>
  </si>
  <si>
    <t>saw works at Cremer's</t>
  </si>
  <si>
    <t>IP1210</t>
  </si>
  <si>
    <t>Wicksteed</t>
  </si>
  <si>
    <t>play ground inspections</t>
  </si>
  <si>
    <t>IP1211</t>
  </si>
  <si>
    <t>balance of Cemetery works</t>
  </si>
  <si>
    <t>IP1212</t>
  </si>
  <si>
    <t>erect 2 noticeboards, bench maintenance, sign</t>
  </si>
  <si>
    <t>IP1213</t>
  </si>
  <si>
    <t>+IP1214</t>
  </si>
  <si>
    <t>Richardson Haulage Ltd</t>
  </si>
  <si>
    <t>soil and green waste removal from Cemetery</t>
  </si>
  <si>
    <t>IP1215</t>
  </si>
  <si>
    <t>Harry Stebbing Workshop</t>
  </si>
  <si>
    <t>2 noticeboards</t>
  </si>
  <si>
    <t>DD0906</t>
  </si>
  <si>
    <t>IP1208</t>
  </si>
  <si>
    <t>2nd 50% Phase 1 Design and Planning</t>
  </si>
  <si>
    <t>IP1192</t>
  </si>
  <si>
    <t>PAYE &amp; NI September 2019</t>
  </si>
  <si>
    <t>IP1193</t>
  </si>
  <si>
    <t>DD1004</t>
  </si>
  <si>
    <t>salary October 2019</t>
  </si>
  <si>
    <t>r</t>
  </si>
  <si>
    <t>DD0907</t>
  </si>
  <si>
    <t>TalkTalk</t>
  </si>
  <si>
    <t>telephone September 19</t>
  </si>
  <si>
    <t>DD1003</t>
  </si>
  <si>
    <t>DD1001</t>
  </si>
  <si>
    <t>final telephone bill</t>
  </si>
  <si>
    <t>DD1002</t>
  </si>
  <si>
    <t>electricity September 19</t>
  </si>
  <si>
    <t>DD1007</t>
  </si>
  <si>
    <t>DD1005</t>
  </si>
  <si>
    <t>DD1006</t>
  </si>
  <si>
    <t>IP1218</t>
  </si>
  <si>
    <t>IP1219</t>
  </si>
  <si>
    <t>St Lawrence Centre hire 29th October 2019</t>
  </si>
  <si>
    <t>IP1220</t>
  </si>
  <si>
    <t>office rent September 19</t>
  </si>
  <si>
    <t>IP1221</t>
  </si>
  <si>
    <t>grass cutting September 2019</t>
  </si>
  <si>
    <t>IP1222</t>
  </si>
  <si>
    <t>+IP1230</t>
  </si>
  <si>
    <t>handyman services Sept &amp; Oct 19</t>
  </si>
  <si>
    <t>IP1223</t>
  </si>
  <si>
    <t>expenses October 2019</t>
  </si>
  <si>
    <t>IP1224</t>
  </si>
  <si>
    <t>IP1225</t>
  </si>
  <si>
    <t>monthly maintenance October 19</t>
  </si>
  <si>
    <t>IP1227</t>
  </si>
  <si>
    <t>Bure Valley Conservation Group</t>
  </si>
  <si>
    <t>Cremer's Meadow cut and clear</t>
  </si>
  <si>
    <t>IP1228</t>
  </si>
  <si>
    <t>NPLaw fees for Cemetery Covenant</t>
  </si>
  <si>
    <t>IP1229</t>
  </si>
  <si>
    <t>new locks for the Allotment toilet</t>
  </si>
  <si>
    <t>IP1231</t>
  </si>
  <si>
    <t>PKF Littlejohn</t>
  </si>
  <si>
    <t>audit fee 2018/19</t>
  </si>
  <si>
    <t>IP1232</t>
  </si>
  <si>
    <t>Allotment and Countryside park rent 6/4-10/10/19</t>
  </si>
  <si>
    <t>IP1233</t>
  </si>
  <si>
    <t>gloves and shears</t>
  </si>
  <si>
    <t>IP1216</t>
  </si>
  <si>
    <t>PAYE &amp; NI October 2019</t>
  </si>
  <si>
    <t>IP1217</t>
  </si>
  <si>
    <t>DD1104</t>
  </si>
  <si>
    <t>salary November 2019</t>
  </si>
  <si>
    <t>IP1234</t>
  </si>
  <si>
    <t>Norwich Diocese Board of Finance</t>
  </si>
  <si>
    <t>rent for bus shelter at rectory</t>
  </si>
  <si>
    <t>IP1248</t>
  </si>
  <si>
    <t>RBL Poppy Appeal</t>
  </si>
  <si>
    <t>3 wreaths</t>
  </si>
  <si>
    <t>DD1008</t>
  </si>
  <si>
    <t>telephone October 19</t>
  </si>
  <si>
    <t>DD1102</t>
  </si>
  <si>
    <t>electricity October 19</t>
  </si>
  <si>
    <t>IP1252</t>
  </si>
  <si>
    <t>Z Thorpe (Pilgrim Property Maintenance)</t>
  </si>
  <si>
    <t>50% deposit for new bus shelter base</t>
  </si>
  <si>
    <t>IP1254</t>
  </si>
  <si>
    <t>Scott Sheds Ltd</t>
  </si>
  <si>
    <t>30% deposit for new bus shelter</t>
  </si>
  <si>
    <t>DD1107</t>
  </si>
  <si>
    <t>cupboard and Adobe renewal</t>
  </si>
  <si>
    <t>IP1253</t>
  </si>
  <si>
    <t>50% balance for new bus shelter base</t>
  </si>
  <si>
    <t>IP1260</t>
  </si>
  <si>
    <t>defibrillator donation</t>
  </si>
  <si>
    <t>IP1237</t>
  </si>
  <si>
    <t>IP1238</t>
  </si>
  <si>
    <t>+IP1256</t>
  </si>
  <si>
    <t>room hire 30th October, 25th November</t>
  </si>
  <si>
    <t>IP1239</t>
  </si>
  <si>
    <t>office and room hire October 2019</t>
  </si>
  <si>
    <t>IP1240</t>
  </si>
  <si>
    <t>grounds maintenance October &amp; mini roundabout shrubs</t>
  </si>
  <si>
    <t>IP1241</t>
  </si>
  <si>
    <t>handyman/cleaning November &amp; removal of field gate at Cemetery</t>
  </si>
  <si>
    <t>IP1242</t>
  </si>
  <si>
    <t>expenses November 2019</t>
  </si>
  <si>
    <t>IP1243</t>
  </si>
  <si>
    <t>IP1244</t>
  </si>
  <si>
    <t>monthly streelight maintenance Oct 19</t>
  </si>
  <si>
    <t>IP1246</t>
  </si>
  <si>
    <t>Broadland Toilet Hire</t>
  </si>
  <si>
    <t>toilet provision for CPBT at Church Fen</t>
  </si>
  <si>
    <t>IP1247</t>
  </si>
  <si>
    <t>+IP1259</t>
  </si>
  <si>
    <t>toners &amp; stationery</t>
  </si>
  <si>
    <t>IP1251</t>
  </si>
  <si>
    <t>Monumental Mason</t>
  </si>
  <si>
    <t>second Shard</t>
  </si>
  <si>
    <t>IP1250</t>
  </si>
  <si>
    <t>Cromer Garage Doors</t>
  </si>
  <si>
    <t>Replacement window for Cremer's barn</t>
  </si>
  <si>
    <t>IP1255</t>
  </si>
  <si>
    <t>balance of new bus shelter</t>
  </si>
  <si>
    <t>IP1257</t>
  </si>
  <si>
    <t>MW Surfacing Ltd</t>
  </si>
  <si>
    <t>Cemetery car park resurfacing</t>
  </si>
  <si>
    <t>IP1258</t>
  </si>
  <si>
    <t>dog waste bin post Berryfields</t>
  </si>
  <si>
    <t>IP1235</t>
  </si>
  <si>
    <t>PAYE &amp; NI November 2019</t>
  </si>
  <si>
    <t>IP1236</t>
  </si>
  <si>
    <t>DD1201</t>
  </si>
  <si>
    <t>salary December 2019</t>
  </si>
  <si>
    <t>DD1202</t>
  </si>
  <si>
    <t>DD1101</t>
  </si>
  <si>
    <t>telephone November 19</t>
  </si>
  <si>
    <t>DD1203</t>
  </si>
  <si>
    <t>electricity November 2019</t>
  </si>
  <si>
    <t>IP1263</t>
  </si>
  <si>
    <t>IP1264</t>
  </si>
  <si>
    <t>room hire 16th December</t>
  </si>
  <si>
    <t>IP1265</t>
  </si>
  <si>
    <t>room and office hire November 2019</t>
  </si>
  <si>
    <t>IP1266</t>
  </si>
  <si>
    <t>grounds maintenance November 2019</t>
  </si>
  <si>
    <t>IP1267</t>
  </si>
  <si>
    <t>handyman December 2019</t>
  </si>
  <si>
    <t>IP1268</t>
  </si>
  <si>
    <t>expenses December 2019</t>
  </si>
  <si>
    <t>IP1269</t>
  </si>
  <si>
    <t>IP1270</t>
  </si>
  <si>
    <t>monthly streelight maintenance Nov 19</t>
  </si>
  <si>
    <t>IP1272</t>
  </si>
  <si>
    <t>paper and pens</t>
  </si>
  <si>
    <t>IP1273</t>
  </si>
  <si>
    <t>The Broads Society</t>
  </si>
  <si>
    <t>annual membership</t>
  </si>
  <si>
    <t>IP1274</t>
  </si>
  <si>
    <t>Interim internal audit 2019/20</t>
  </si>
  <si>
    <t>IP1275</t>
  </si>
  <si>
    <t>The Gardening Gopher (PJ McDonnell)</t>
  </si>
  <si>
    <t>IP1261</t>
  </si>
  <si>
    <t>PAYE &amp; NI December 2019</t>
  </si>
  <si>
    <t>IP1262</t>
  </si>
  <si>
    <t>DD0101</t>
  </si>
  <si>
    <t>IP1286</t>
  </si>
  <si>
    <t>Youth Café donation</t>
  </si>
  <si>
    <t>telephone December 2019</t>
  </si>
  <si>
    <t>DD0102</t>
  </si>
  <si>
    <t>DD0103</t>
  </si>
  <si>
    <t>electricity December 2019</t>
  </si>
  <si>
    <t>IP1306</t>
  </si>
  <si>
    <t>Came and Company</t>
  </si>
  <si>
    <t>Annual Insurance</t>
  </si>
  <si>
    <t>IP1278</t>
  </si>
  <si>
    <t>salary January 2020</t>
  </si>
  <si>
    <t>IP1279</t>
  </si>
  <si>
    <t>room hire 20th January 2020</t>
  </si>
  <si>
    <t>IP1280</t>
  </si>
  <si>
    <t>room and office hire December 2019</t>
  </si>
  <si>
    <t>IP1281</t>
  </si>
  <si>
    <t>grounds maintenance December 2019</t>
  </si>
  <si>
    <t>IP1282</t>
  </si>
  <si>
    <t>handyman January 2020 &amp; fixing Twinning Sign</t>
  </si>
  <si>
    <t>IP1283</t>
  </si>
  <si>
    <t>expenses January 2020</t>
  </si>
  <si>
    <t>IP1284</t>
  </si>
  <si>
    <t>IP1285</t>
  </si>
  <si>
    <t>monthly streetlight maintenance December 2019</t>
  </si>
  <si>
    <t>IP1287</t>
  </si>
  <si>
    <t>Spire Solicitors LLP</t>
  </si>
  <si>
    <t>Deed of Variation S106 Agreement Sports Hub</t>
  </si>
  <si>
    <t>IP1288</t>
  </si>
  <si>
    <t>Streetlight column 95 replacement</t>
  </si>
  <si>
    <t>IP1289</t>
  </si>
  <si>
    <t>NPS Property Consultants</t>
  </si>
  <si>
    <t>LEMH valuation advice</t>
  </si>
  <si>
    <t>IP1290</t>
  </si>
  <si>
    <t>Richard Farley</t>
  </si>
  <si>
    <t>bolt for vehicle gate at the allotments</t>
  </si>
  <si>
    <t>IP1291</t>
  </si>
  <si>
    <t>+IP1924</t>
  </si>
  <si>
    <t>Tudor Print</t>
  </si>
  <si>
    <t>deep mud and water signs</t>
  </si>
  <si>
    <t>IP1292</t>
  </si>
  <si>
    <t>recruitment day expenses</t>
  </si>
  <si>
    <t>IP1293</t>
  </si>
  <si>
    <t>posts</t>
  </si>
  <si>
    <t>IP1294</t>
  </si>
  <si>
    <t>Cableway tyre repair/replacement</t>
  </si>
  <si>
    <t>Cemetery water</t>
  </si>
  <si>
    <t>Allotment water</t>
  </si>
  <si>
    <t>IP1276</t>
  </si>
  <si>
    <t>PAYE &amp; NI January 2020</t>
  </si>
  <si>
    <t>IP1277</t>
  </si>
  <si>
    <t>DD0201</t>
  </si>
  <si>
    <t>salary February 2020</t>
  </si>
  <si>
    <t>IP1310</t>
  </si>
  <si>
    <t>Minerva SC Solutions</t>
  </si>
  <si>
    <t>1st installment CLG advice</t>
  </si>
  <si>
    <t>DD0205</t>
  </si>
  <si>
    <t>telephone January 2020</t>
  </si>
  <si>
    <t>IP1312</t>
  </si>
  <si>
    <t>MLP Traffic</t>
  </si>
  <si>
    <t>underpaid VAT</t>
  </si>
  <si>
    <t>DD0203</t>
  </si>
  <si>
    <t>electricity January 2020</t>
  </si>
  <si>
    <t>DD0304</t>
  </si>
  <si>
    <t>Norton, USB, toner cartridges</t>
  </si>
  <si>
    <t>IP1298</t>
  </si>
  <si>
    <t>IP1299</t>
  </si>
  <si>
    <t>+315,316,324</t>
  </si>
  <si>
    <t>IP1300</t>
  </si>
  <si>
    <t>room and office hire January 2020</t>
  </si>
  <si>
    <t>IP1301</t>
  </si>
  <si>
    <t>grounds maintenance January 2020</t>
  </si>
  <si>
    <t>IP1302</t>
  </si>
  <si>
    <t>handyman February 2020</t>
  </si>
  <si>
    <t>IP1303</t>
  </si>
  <si>
    <t>expenses February 2020</t>
  </si>
  <si>
    <t>IP1304</t>
  </si>
  <si>
    <t>IP1305</t>
  </si>
  <si>
    <t>+IP1321</t>
  </si>
  <si>
    <t>monthly streetlight maintenance January 2020</t>
  </si>
  <si>
    <t>IP1307</t>
  </si>
  <si>
    <t>Broadland Tree Warden Network</t>
  </si>
  <si>
    <t>annual subscription/donation</t>
  </si>
  <si>
    <t>IP1308</t>
  </si>
  <si>
    <t>new Councillor training Mike Savory</t>
  </si>
  <si>
    <t>IP1311</t>
  </si>
  <si>
    <t>MW Groundworks (Norfolk) Ltd</t>
  </si>
  <si>
    <t>Countryside Park car park tarmac</t>
  </si>
  <si>
    <t>IP1313</t>
  </si>
  <si>
    <t>G&amp;G Fencing Ltd</t>
  </si>
  <si>
    <t>Cemetery fence repositioning</t>
  </si>
  <si>
    <t>IP1314</t>
  </si>
  <si>
    <t>A4 signs for the play areas</t>
  </si>
  <si>
    <t>IP1317</t>
  </si>
  <si>
    <t>Data Protection training S Smyth</t>
  </si>
  <si>
    <t>IP1318</t>
  </si>
  <si>
    <t>domain, website, Office 365 annual renewal</t>
  </si>
  <si>
    <t>IP1319</t>
  </si>
  <si>
    <t>CP fence, Rectory screen</t>
  </si>
  <si>
    <t>IP1320</t>
  </si>
  <si>
    <t>Sharp</t>
  </si>
  <si>
    <t>photocopier charges</t>
  </si>
  <si>
    <t>IP1321</t>
  </si>
  <si>
    <t>repair of bridge at Church Fen</t>
  </si>
  <si>
    <t>IP1322</t>
  </si>
  <si>
    <t>2nd installment CLG advice</t>
  </si>
  <si>
    <t>IP1296</t>
  </si>
  <si>
    <t>PAYE &amp; NI February 2020</t>
  </si>
  <si>
    <t>IP1297</t>
  </si>
  <si>
    <t>DD0301</t>
  </si>
  <si>
    <t>salary March 2020</t>
  </si>
  <si>
    <t>DD0302</t>
  </si>
  <si>
    <t>Information Commisioners Office</t>
  </si>
  <si>
    <t>Annual fee</t>
  </si>
  <si>
    <t>DD0305</t>
  </si>
  <si>
    <t>DD0303</t>
  </si>
  <si>
    <t>electricity February 2020</t>
  </si>
  <si>
    <t>DD0306</t>
  </si>
  <si>
    <t>electricity adjustment Dec 2018 to January 2020</t>
  </si>
  <si>
    <t>IP1327</t>
  </si>
  <si>
    <t>IP1328</t>
  </si>
  <si>
    <t>+IP1339</t>
  </si>
  <si>
    <t>room hire 5th, 10th and 23rd March 2020</t>
  </si>
  <si>
    <t>IP1329</t>
  </si>
  <si>
    <t>room and Office Hire February 2020</t>
  </si>
  <si>
    <t>IP1330</t>
  </si>
  <si>
    <t>grounds maintenance February 2020, Richard Barrington memorial, reducing cemetery hedge height</t>
  </si>
  <si>
    <t>IP1331</t>
  </si>
  <si>
    <t>handyman March 2020</t>
  </si>
  <si>
    <t>IP1332</t>
  </si>
  <si>
    <t>expenses March 2020</t>
  </si>
  <si>
    <t>IP1333</t>
  </si>
  <si>
    <t>IP1334</t>
  </si>
  <si>
    <t>monthly streelight maintenance February 2020</t>
  </si>
  <si>
    <t>IP1335</t>
  </si>
  <si>
    <t>loo roll and paper</t>
  </si>
  <si>
    <t>IP1336</t>
  </si>
  <si>
    <t>aerial photo of Cremer's</t>
  </si>
  <si>
    <t>IP1337</t>
  </si>
  <si>
    <t>+IP1338 &amp; IP1341</t>
  </si>
  <si>
    <t>Roses and compost for cemetery, mileage and tea for removal of tree guards</t>
  </si>
  <si>
    <t>IP1340</t>
  </si>
  <si>
    <t>Annual subscription</t>
  </si>
  <si>
    <t>IP1342</t>
  </si>
  <si>
    <t>PJC Services</t>
  </si>
  <si>
    <t>deposit for tree felling on the additional Cemetery field</t>
  </si>
  <si>
    <t>IP1325</t>
  </si>
  <si>
    <t>PAYE &amp; NI March 2020</t>
  </si>
  <si>
    <t>IP1326</t>
  </si>
  <si>
    <t>grass</t>
  </si>
  <si>
    <t>water</t>
  </si>
  <si>
    <t>repairs</t>
  </si>
  <si>
    <t>sundries</t>
  </si>
  <si>
    <t>Noticeboards</t>
  </si>
  <si>
    <t>bus shelter</t>
  </si>
  <si>
    <t>streetlight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</si>
  <si>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</si>
  <si>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</si>
  <si>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</si>
  <si>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</si>
  <si>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</si>
  <si>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</si>
  <si>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</si>
  <si>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</si>
  <si>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</si>
  <si>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</si>
  <si>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</si>
  <si>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</si>
  <si>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INCOME for year to 31st March 2020</t>
  </si>
  <si>
    <t>Donation/</t>
  </si>
  <si>
    <t>Date banked</t>
  </si>
  <si>
    <t xml:space="preserve">Payer </t>
  </si>
  <si>
    <t>Description</t>
  </si>
  <si>
    <t>Invoice</t>
  </si>
  <si>
    <t>VAT</t>
  </si>
  <si>
    <t>Precept</t>
  </si>
  <si>
    <t>CIL</t>
  </si>
  <si>
    <t>allotment</t>
  </si>
  <si>
    <t>del funct</t>
  </si>
  <si>
    <t>bank int</t>
  </si>
  <si>
    <t>grant/donate</t>
  </si>
  <si>
    <t>Miscellaneous</t>
  </si>
  <si>
    <t>S106</t>
  </si>
  <si>
    <t>tsf</t>
  </si>
  <si>
    <t>VAT refund 2018-9</t>
  </si>
  <si>
    <t>John Gedge</t>
  </si>
  <si>
    <t>A145 Vera Lowe</t>
  </si>
  <si>
    <t>2019-002</t>
  </si>
  <si>
    <t>Arthur Jary &amp; Sons</t>
  </si>
  <si>
    <t>CR22 Audrey Burton</t>
  </si>
  <si>
    <t>2019-003</t>
  </si>
  <si>
    <t>Broadland DC</t>
  </si>
  <si>
    <t>precept</t>
  </si>
  <si>
    <t>Abbey Memorials</t>
  </si>
  <si>
    <t>A68 Donald Hardy headstone</t>
  </si>
  <si>
    <t>Samantha Allison Mark Warne</t>
  </si>
  <si>
    <t>allotment plot 3E</t>
  </si>
  <si>
    <t>??</t>
  </si>
  <si>
    <t>Stephen Newstead</t>
  </si>
  <si>
    <t>allotment plot 9WB</t>
  </si>
  <si>
    <t>Mike Batterbee</t>
  </si>
  <si>
    <t>allotment plot 3W</t>
  </si>
  <si>
    <t>Delegated grass cutting</t>
  </si>
  <si>
    <t>2019-Grass</t>
  </si>
  <si>
    <t>Johathan Lyon</t>
  </si>
  <si>
    <t>A132 Hazel Gaston</t>
  </si>
  <si>
    <t>2019-004</t>
  </si>
  <si>
    <t>D11 Brison</t>
  </si>
  <si>
    <t>A145 Vera Lowe headstone</t>
  </si>
  <si>
    <t>John Gedge &amp; Sons</t>
  </si>
  <si>
    <t>A117 Anthony Sercombe</t>
  </si>
  <si>
    <t>2019-005</t>
  </si>
  <si>
    <t>S106 Slatters planning</t>
  </si>
  <si>
    <t>Arthur Jary &amp; Sons ??</t>
  </si>
  <si>
    <t>D52 Irene Driver</t>
  </si>
  <si>
    <t>2019-006</t>
  </si>
  <si>
    <t>cemetery plot</t>
  </si>
  <si>
    <t>2019-007</t>
  </si>
  <si>
    <t>Janet L-K cremation plot</t>
  </si>
  <si>
    <t>headstone Brian John Owen</t>
  </si>
  <si>
    <t>Gt Yarmouth Marble &amp; Granite</t>
  </si>
  <si>
    <t>headstone A83 John &amp; Anne Deans</t>
  </si>
  <si>
    <t>S A Robinson Stonemasons</t>
  </si>
  <si>
    <t>headstone A84 Langford Gillings</t>
  </si>
  <si>
    <t>Mr B H Dunham</t>
  </si>
  <si>
    <t>2019-008</t>
  </si>
  <si>
    <t>AXA Insurance</t>
  </si>
  <si>
    <t>streetlamp repair</t>
  </si>
  <si>
    <t>Kenneth/Irene Driver</t>
  </si>
  <si>
    <t>Mr S L Clarke</t>
  </si>
  <si>
    <t>allotment plot 35W</t>
  </si>
  <si>
    <t>chq</t>
  </si>
  <si>
    <t>Stephanie Laing</t>
  </si>
  <si>
    <t>allotment plot 13WA</t>
  </si>
  <si>
    <t>cash</t>
  </si>
  <si>
    <t>Barley Green</t>
  </si>
  <si>
    <t>allotment plot 10W</t>
  </si>
  <si>
    <t>Terry Rooke</t>
  </si>
  <si>
    <t>allotment plot 48E</t>
  </si>
  <si>
    <t>Ian Nicholson</t>
  </si>
  <si>
    <t>allotment plots 14E &amp; 14WA</t>
  </si>
  <si>
    <t>Donna Fountain</t>
  </si>
  <si>
    <t>allotment plot T1</t>
  </si>
  <si>
    <t>Lesley High</t>
  </si>
  <si>
    <t>allotment plot 15W</t>
  </si>
  <si>
    <t>MJ Hammond</t>
  </si>
  <si>
    <t>allotment plot 24</t>
  </si>
  <si>
    <t>J Imrie</t>
  </si>
  <si>
    <t>allotment plot 6W</t>
  </si>
  <si>
    <t>Otter</t>
  </si>
  <si>
    <t>allotment plots 34E &amp; 35E</t>
  </si>
  <si>
    <t>J Aldred</t>
  </si>
  <si>
    <t>allotment plot 25</t>
  </si>
  <si>
    <t>Lawrence Britt</t>
  </si>
  <si>
    <t>allotment plots 22EA &amp; 54N</t>
  </si>
  <si>
    <t>NR Gladden</t>
  </si>
  <si>
    <t>allotment plot 9WA</t>
  </si>
  <si>
    <t>Diana Buck</t>
  </si>
  <si>
    <t>allotment plot 43W</t>
  </si>
  <si>
    <t>D Johnson</t>
  </si>
  <si>
    <t>allotment plot 36W</t>
  </si>
  <si>
    <t>S Calton</t>
  </si>
  <si>
    <t>allotment plots 42E &amp; T3</t>
  </si>
  <si>
    <t>R Farley</t>
  </si>
  <si>
    <t>allotment plot 34W</t>
  </si>
  <si>
    <t>P Peers</t>
  </si>
  <si>
    <t>allotment plot 40</t>
  </si>
  <si>
    <t>D Cossey</t>
  </si>
  <si>
    <t>allotment plot 26E</t>
  </si>
  <si>
    <t>A McMillan</t>
  </si>
  <si>
    <t>allotment plot 50</t>
  </si>
  <si>
    <t>Helen Hancy</t>
  </si>
  <si>
    <t>allotment plot 14WB</t>
  </si>
  <si>
    <t>J Tanner</t>
  </si>
  <si>
    <t>allotment plot 54W</t>
  </si>
  <si>
    <t>P Cudby</t>
  </si>
  <si>
    <t>allotment plot 23E</t>
  </si>
  <si>
    <t>RF Aram</t>
  </si>
  <si>
    <t>allotment plot 36E</t>
  </si>
  <si>
    <t>John Ross</t>
  </si>
  <si>
    <t>allotment plot 11</t>
  </si>
  <si>
    <t>Stephen Godfrey</t>
  </si>
  <si>
    <t>allotment plot 1E</t>
  </si>
  <si>
    <t>Carolyn Wright</t>
  </si>
  <si>
    <t>allotment plot 2EB</t>
  </si>
  <si>
    <t>L Hardy (Dixon)</t>
  </si>
  <si>
    <t>allotment plot 39W</t>
  </si>
  <si>
    <t>HJ &amp; RH Calton</t>
  </si>
  <si>
    <t>allotment plot 41W</t>
  </si>
  <si>
    <t>Bridget Warns</t>
  </si>
  <si>
    <t>allotment plots 26W &amp; 5E</t>
  </si>
  <si>
    <t>A Reed</t>
  </si>
  <si>
    <t>allotment plot 49E</t>
  </si>
  <si>
    <t>C L Perkins</t>
  </si>
  <si>
    <t>allotment plot 53E</t>
  </si>
  <si>
    <t>J L Bromiley</t>
  </si>
  <si>
    <t>allotment plots 5EB &amp; 5W</t>
  </si>
  <si>
    <t>GN Smith</t>
  </si>
  <si>
    <t>allotment plot 54C</t>
  </si>
  <si>
    <t xml:space="preserve">allotment plot </t>
  </si>
  <si>
    <t>Natasha Raitt</t>
  </si>
  <si>
    <t>allotment plot 39E</t>
  </si>
  <si>
    <t>SL Belle / Samantha Allison</t>
  </si>
  <si>
    <t>K Hodges / Ray Cook</t>
  </si>
  <si>
    <t>allotment plot 29E</t>
  </si>
  <si>
    <t>Sarah Sloan</t>
  </si>
  <si>
    <t>allotment plot 49W</t>
  </si>
  <si>
    <t>JM Underhill</t>
  </si>
  <si>
    <t>allotment plot 9E</t>
  </si>
  <si>
    <t>John Utley</t>
  </si>
  <si>
    <t>allotment plot 23W</t>
  </si>
  <si>
    <t>Marylin Newman</t>
  </si>
  <si>
    <t>allotment plot 1W</t>
  </si>
  <si>
    <t>Barry Copping</t>
  </si>
  <si>
    <t>allotment plot 29W</t>
  </si>
  <si>
    <t>Adrian Wymer</t>
  </si>
  <si>
    <t>allotment plot 15E</t>
  </si>
  <si>
    <t>John Philp</t>
  </si>
  <si>
    <t>allotment plot 18</t>
  </si>
  <si>
    <t>Jacky Heath</t>
  </si>
  <si>
    <t>allotment plot 32W</t>
  </si>
  <si>
    <t>L Barber</t>
  </si>
  <si>
    <t>allotment plot 4</t>
  </si>
  <si>
    <t>M J &amp; L A Young</t>
  </si>
  <si>
    <t>allotment plot T2</t>
  </si>
  <si>
    <t>S Hawes</t>
  </si>
  <si>
    <t>allotment plots 41E &amp; 43E</t>
  </si>
  <si>
    <t>LF &amp; AJ Bunn</t>
  </si>
  <si>
    <t>allotment plots 12E &amp; 12WA</t>
  </si>
  <si>
    <t>JA Calton-Porter</t>
  </si>
  <si>
    <t>allotment plot 22W</t>
  </si>
  <si>
    <t>N &amp; E Brown</t>
  </si>
  <si>
    <t>allotment plot 10E</t>
  </si>
  <si>
    <t>Mrs S J Nockolds</t>
  </si>
  <si>
    <t>allotment plot 17</t>
  </si>
  <si>
    <t>T T Masarira</t>
  </si>
  <si>
    <t>allotment plot 46</t>
  </si>
  <si>
    <t>Kevin Wilkins</t>
  </si>
  <si>
    <t>allotment plot 8</t>
  </si>
  <si>
    <t>A Gould</t>
  </si>
  <si>
    <t>allotment plot 7W</t>
  </si>
  <si>
    <t>David Knights</t>
  </si>
  <si>
    <t>allotment plot 16</t>
  </si>
  <si>
    <t>S M Harper</t>
  </si>
  <si>
    <t>allotment plot 27WB</t>
  </si>
  <si>
    <t>Mark Bell</t>
  </si>
  <si>
    <t>allotment plot 2W</t>
  </si>
  <si>
    <t>Pearl Elvin</t>
  </si>
  <si>
    <t>allotment plot 51E</t>
  </si>
  <si>
    <t>allotment plot 37</t>
  </si>
  <si>
    <t>Liz Clues</t>
  </si>
  <si>
    <t>allotment plot 27WA</t>
  </si>
  <si>
    <t>Helen Watkins</t>
  </si>
  <si>
    <t>allotment plot 2E</t>
  </si>
  <si>
    <t>Denise Cox</t>
  </si>
  <si>
    <t>allotment plot 48W</t>
  </si>
  <si>
    <t>Ottilie Barber</t>
  </si>
  <si>
    <t>allotment plots 19W &amp; 20W</t>
  </si>
  <si>
    <t>Lei Zhao</t>
  </si>
  <si>
    <t>allotment plots 19E &amp; 20E</t>
  </si>
  <si>
    <t>R Farley for Catherine Whiting</t>
  </si>
  <si>
    <t>allotment plot 33</t>
  </si>
  <si>
    <t>Mr A D Storr</t>
  </si>
  <si>
    <t>allotment plot 13E</t>
  </si>
  <si>
    <t>Jary &amp; Sons</t>
  </si>
  <si>
    <t>Vanja Briggs</t>
  </si>
  <si>
    <t>allotment plot 28W (new tenant)</t>
  </si>
  <si>
    <t>Caroline Peel</t>
  </si>
  <si>
    <t>allotment plot 54S (invoice missed)</t>
  </si>
  <si>
    <t>Philip Davis</t>
  </si>
  <si>
    <t>allotment plot 32EA</t>
  </si>
  <si>
    <t>Derek Elms</t>
  </si>
  <si>
    <t>allotment plot 38</t>
  </si>
  <si>
    <t>J Reynolds</t>
  </si>
  <si>
    <t>allotment plot 47</t>
  </si>
  <si>
    <t>S106 Surfacing Standards inv 3309</t>
  </si>
  <si>
    <t>Sarah Henry</t>
  </si>
  <si>
    <t>allotment plot 6E</t>
  </si>
  <si>
    <t>T&amp;F Garlick</t>
  </si>
  <si>
    <t>Sue Allport</t>
  </si>
  <si>
    <t>allotment plot 42W</t>
  </si>
  <si>
    <t>M Pennick</t>
  </si>
  <si>
    <t>allotment plot 13WB</t>
  </si>
  <si>
    <t>paid into allotment account</t>
  </si>
  <si>
    <t>Tim Strudwick</t>
  </si>
  <si>
    <t>allotment plot 44</t>
  </si>
  <si>
    <t>P Witney</t>
  </si>
  <si>
    <t>allotment plot 30</t>
  </si>
  <si>
    <t>A Clarke</t>
  </si>
  <si>
    <t>allotment plot 26W</t>
  </si>
  <si>
    <t>headstone A99</t>
  </si>
  <si>
    <t>Jon Hyam</t>
  </si>
  <si>
    <t>allotment plot 45</t>
  </si>
  <si>
    <t>cremation plot</t>
  </si>
  <si>
    <t>A&amp;J Goodenough</t>
  </si>
  <si>
    <t>2019-010</t>
  </si>
  <si>
    <t>David Rollings</t>
  </si>
  <si>
    <t>allotment plot 28E</t>
  </si>
  <si>
    <t>Veronica Snowling</t>
  </si>
  <si>
    <t>allotment plot 52W (new tenant)</t>
  </si>
  <si>
    <t>Douglas Bain</t>
  </si>
  <si>
    <t>allotment plot 21E</t>
  </si>
  <si>
    <t>underpayment adjust</t>
  </si>
  <si>
    <t>K Harris</t>
  </si>
  <si>
    <t>allotment plot 22EB</t>
  </si>
  <si>
    <t>David Lackey</t>
  </si>
  <si>
    <t>allotment plot 31</t>
  </si>
  <si>
    <t>David Finnigan</t>
  </si>
  <si>
    <t>allotment plot 51W</t>
  </si>
  <si>
    <t>headstone ...</t>
  </si>
  <si>
    <t>Great Yarmouth Marble &amp; Granite</t>
  </si>
  <si>
    <t>headstone Gregory Driver</t>
  </si>
  <si>
    <t>Mrs Betty Felton</t>
  </si>
  <si>
    <t>Ashes burial CR76 Frederick Hawkings</t>
  </si>
  <si>
    <t>2020-003</t>
  </si>
  <si>
    <t>Prepayment CR77</t>
  </si>
  <si>
    <t>2020-004</t>
  </si>
  <si>
    <t>Mrs Val Owen</t>
  </si>
  <si>
    <t>Ashes burial CR55 Mr Brian Owen</t>
  </si>
  <si>
    <t>2020-005</t>
  </si>
  <si>
    <t>Vinnells CR73</t>
  </si>
  <si>
    <t>Miss S E Riley</t>
  </si>
  <si>
    <t>reservation D12</t>
  </si>
  <si>
    <t>2020-007</t>
  </si>
  <si>
    <t>D35 Henry Harmer burial</t>
  </si>
  <si>
    <t>2020-006</t>
  </si>
  <si>
    <t>G Penson</t>
  </si>
  <si>
    <t>Plot D34 Philip Penson</t>
  </si>
  <si>
    <t>2020-008</t>
  </si>
  <si>
    <t>BDC Parish Deposit</t>
  </si>
  <si>
    <t>transfer</t>
  </si>
  <si>
    <t>VAT refund 2019-20</t>
  </si>
  <si>
    <t>C Abbs</t>
  </si>
  <si>
    <t>allotment plot 14WA</t>
  </si>
  <si>
    <t>TOTAL</t>
  </si>
  <si>
    <t>Savings Account</t>
  </si>
  <si>
    <t>Date:</t>
  </si>
  <si>
    <t>Details:</t>
  </si>
  <si>
    <t>£</t>
  </si>
  <si>
    <t>Balance</t>
  </si>
  <si>
    <t>int</t>
  </si>
  <si>
    <t>tsfrs in</t>
  </si>
  <si>
    <t>tsfrs out</t>
  </si>
  <si>
    <t>other</t>
  </si>
  <si>
    <t>adjustment from 2016/17</t>
  </si>
  <si>
    <t>Transfer to HSBC</t>
  </si>
  <si>
    <t>Bank Reconciliation</t>
  </si>
  <si>
    <t>4th Quarter 2019-20</t>
  </si>
  <si>
    <t>Current account:</t>
  </si>
  <si>
    <t>Balance b/f at 1.4.2019</t>
  </si>
  <si>
    <t>Add: receipts to date</t>
  </si>
  <si>
    <t>Less: payments to date</t>
  </si>
  <si>
    <t>Balance c/f to date</t>
  </si>
  <si>
    <t xml:space="preserve">Total monies at: </t>
  </si>
  <si>
    <t>31.3.2020</t>
  </si>
  <si>
    <t>Bank balance as at:</t>
  </si>
  <si>
    <t>Less: outstanding cheques/payments</t>
  </si>
  <si>
    <t>Add: unpresented deposits</t>
  </si>
  <si>
    <t>Cashbook Balance at:</t>
  </si>
  <si>
    <t>BDC Parish Deposit account:</t>
  </si>
  <si>
    <t>BDC Parish Deposit A/c at 30-06-2019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</si>
</sst>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dd/mm/yyyy;@"/>
    <numFmt numFmtId="167" formatCode="#,##0.00_ ;\-#,##0.00\ "/>
    <numFmt numFmtId="168" formatCode="[$-409]d\-mmm\-yy;@"/>
    <numFmt numFmtId="169" formatCode="_-[$£-809]* #,##0.00_-;\-[$£-809]* #,##0.00_-;_-[$£-809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9"/>
      <color theme="3" tint="-0.249977111117893"/>
      <name val="Arial"/>
      <family val="2"/>
    </font>
    <font>
      <sz val="9"/>
      <color rgb="FFFF0000"/>
      <name val="Arial"/>
      <family val="2"/>
    </font>
    <font>
      <sz val="9"/>
      <color theme="3" tint="0.399975585192419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</cellStyleXfs>
  <cellXfs count="189">
    <xf numFmtId="0" fontId="0" fillId="0" borderId="0" xfId="0"/>
    <xf numFmtId="15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15" fontId="4" fillId="0" borderId="0" xfId="0" applyNumberFormat="1" applyFont="1"/>
    <xf numFmtId="15" fontId="5" fillId="0" borderId="0" xfId="0" applyNumberFormat="1" applyFont="1"/>
    <xf numFmtId="15" fontId="5" fillId="0" borderId="0" xfId="0" applyNumberFormat="1" applyFont="1" applyFill="1"/>
    <xf numFmtId="14" fontId="6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horizontal="left"/>
    </xf>
    <xf numFmtId="16" fontId="6" fillId="0" borderId="0" xfId="0" applyNumberFormat="1" applyFont="1" applyFill="1" applyAlignment="1">
      <alignment horizontal="center"/>
    </xf>
    <xf numFmtId="164" fontId="6" fillId="0" borderId="0" xfId="2" applyFont="1" applyFill="1"/>
    <xf numFmtId="4" fontId="6" fillId="0" borderId="0" xfId="2" applyNumberFormat="1" applyFont="1" applyFill="1"/>
    <xf numFmtId="4" fontId="5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Protection="1">
      <protection locked="0"/>
    </xf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Protection="1">
      <protection locked="0"/>
    </xf>
    <xf numFmtId="4" fontId="7" fillId="0" borderId="0" xfId="0" applyNumberFormat="1" applyFont="1" applyFill="1"/>
    <xf numFmtId="4" fontId="6" fillId="0" borderId="0" xfId="0" applyNumberFormat="1" applyFont="1" applyFill="1"/>
    <xf numFmtId="164" fontId="5" fillId="0" borderId="0" xfId="2" applyFont="1" applyFill="1"/>
    <xf numFmtId="4" fontId="6" fillId="0" borderId="0" xfId="0" applyNumberFormat="1" applyFont="1" applyFill="1" applyAlignment="1" applyProtection="1">
      <alignment vertical="top"/>
      <protection locked="0"/>
    </xf>
    <xf numFmtId="4" fontId="6" fillId="0" borderId="0" xfId="0" applyNumberFormat="1" applyFont="1" applyFill="1" applyAlignment="1" applyProtection="1">
      <alignment horizontal="left"/>
      <protection locked="0"/>
    </xf>
    <xf numFmtId="164" fontId="6" fillId="0" borderId="0" xfId="0" applyNumberFormat="1" applyFont="1" applyFill="1" applyProtection="1">
      <protection locked="0"/>
    </xf>
    <xf numFmtId="1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4" fontId="6" fillId="0" borderId="0" xfId="0" applyNumberFormat="1" applyFont="1" applyAlignment="1" applyProtection="1">
      <alignment vertical="top"/>
      <protection locked="0"/>
    </xf>
    <xf numFmtId="0" fontId="5" fillId="0" borderId="0" xfId="0" quotePrefix="1" applyFont="1" applyFill="1" applyAlignment="1">
      <alignment horizontal="center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17" fontId="6" fillId="0" borderId="0" xfId="0" applyNumberFormat="1" applyFont="1" applyFill="1" applyAlignment="1" applyProtection="1">
      <alignment vertical="top" wrapText="1"/>
      <protection locked="0"/>
    </xf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Protection="1">
      <protection locked="0"/>
    </xf>
    <xf numFmtId="4" fontId="6" fillId="0" borderId="0" xfId="2" applyNumberFormat="1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Border="1"/>
    <xf numFmtId="15" fontId="5" fillId="0" borderId="1" xfId="0" applyNumberFormat="1" applyFont="1" applyFill="1" applyBorder="1"/>
    <xf numFmtId="14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left"/>
    </xf>
    <xf numFmtId="0" fontId="5" fillId="0" borderId="1" xfId="0" applyFont="1" applyBorder="1"/>
    <xf numFmtId="16" fontId="6" fillId="0" borderId="1" xfId="0" applyNumberFormat="1" applyFont="1" applyFill="1" applyBorder="1" applyAlignment="1">
      <alignment horizontal="center"/>
    </xf>
    <xf numFmtId="164" fontId="6" fillId="0" borderId="1" xfId="2" applyFont="1" applyFill="1" applyBorder="1"/>
    <xf numFmtId="4" fontId="6" fillId="0" borderId="1" xfId="2" applyNumberFormat="1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Border="1"/>
    <xf numFmtId="14" fontId="6" fillId="0" borderId="0" xfId="0" applyNumberFormat="1" applyFont="1" applyFill="1" applyBorder="1" applyAlignment="1" applyProtection="1">
      <alignment horizontal="center" wrapText="1"/>
      <protection locked="0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Protection="1">
      <protection locked="0"/>
    </xf>
    <xf numFmtId="1" fontId="6" fillId="0" borderId="0" xfId="0" quotePrefix="1" applyNumberFormat="1" applyFont="1" applyFill="1" applyAlignment="1">
      <alignment horizontal="center"/>
    </xf>
    <xf numFmtId="16" fontId="5" fillId="0" borderId="0" xfId="0" quotePrefix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right"/>
    </xf>
    <xf numFmtId="16" fontId="5" fillId="0" borderId="0" xfId="0" applyNumberFormat="1" applyFont="1" applyFill="1" applyAlignment="1">
      <alignment vertical="center"/>
    </xf>
    <xf numFmtId="16" fontId="5" fillId="0" borderId="0" xfId="0" applyNumberFormat="1" applyFont="1" applyFill="1" applyAlignment="1">
      <alignment horizontal="center" vertical="center"/>
    </xf>
    <xf numFmtId="15" fontId="5" fillId="0" borderId="0" xfId="0" applyNumberFormat="1" applyFont="1" applyFill="1" applyAlignment="1">
      <alignment vertical="center"/>
    </xf>
    <xf numFmtId="16" fontId="5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4" fontId="5" fillId="2" borderId="0" xfId="0" applyNumberFormat="1" applyFont="1" applyFill="1"/>
    <xf numFmtId="0" fontId="6" fillId="0" borderId="0" xfId="0" applyFont="1" applyFill="1" applyAlignment="1" applyProtection="1">
      <alignment vertical="top"/>
      <protection locked="0"/>
    </xf>
    <xf numFmtId="4" fontId="5" fillId="3" borderId="0" xfId="0" applyNumberFormat="1" applyFont="1" applyFill="1"/>
    <xf numFmtId="0" fontId="5" fillId="0" borderId="0" xfId="0" applyFont="1" applyFill="1" applyAlignment="1">
      <alignment vertical="center"/>
    </xf>
    <xf numFmtId="4" fontId="6" fillId="0" borderId="0" xfId="1" applyNumberFormat="1" applyFont="1" applyFill="1" applyAlignment="1">
      <alignment horizontal="right"/>
    </xf>
    <xf numFmtId="4" fontId="9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164" fontId="6" fillId="0" borderId="0" xfId="0" applyNumberFormat="1" applyFont="1" applyFill="1" applyAlignment="1" applyProtection="1">
      <alignment vertical="top"/>
      <protection locked="0"/>
    </xf>
    <xf numFmtId="14" fontId="6" fillId="0" borderId="0" xfId="0" quotePrefix="1" applyNumberFormat="1" applyFont="1" applyFill="1" applyAlignment="1" applyProtection="1">
      <alignment horizontal="center" wrapText="1"/>
      <protection locked="0"/>
    </xf>
    <xf numFmtId="0" fontId="5" fillId="0" borderId="0" xfId="0" quotePrefix="1" applyFont="1" applyFill="1" applyAlignment="1">
      <alignment horizontal="center" vertical="center"/>
    </xf>
    <xf numFmtId="0" fontId="5" fillId="0" borderId="0" xfId="0" quotePrefix="1" applyFont="1" applyFill="1"/>
    <xf numFmtId="0" fontId="5" fillId="0" borderId="0" xfId="0" applyFont="1" applyFill="1" applyAlignment="1">
      <alignment horizontal="center" vertical="center"/>
    </xf>
    <xf numFmtId="0" fontId="10" fillId="0" borderId="0" xfId="0" applyFont="1"/>
    <xf numFmtId="164" fontId="5" fillId="0" borderId="0" xfId="3" applyNumberFormat="1" applyFont="1" applyFill="1" applyAlignment="1">
      <alignment horizontal="right"/>
    </xf>
    <xf numFmtId="16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3" fontId="5" fillId="0" borderId="0" xfId="0" quotePrefix="1" applyNumberFormat="1" applyFont="1" applyFill="1" applyAlignment="1">
      <alignment horizontal="center"/>
    </xf>
    <xf numFmtId="0" fontId="9" fillId="0" borderId="0" xfId="0" applyFont="1"/>
    <xf numFmtId="15" fontId="5" fillId="0" borderId="2" xfId="0" applyNumberFormat="1" applyFont="1" applyFill="1" applyBorder="1"/>
    <xf numFmtId="16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Protection="1">
      <protection locked="0"/>
    </xf>
    <xf numFmtId="0" fontId="5" fillId="0" borderId="2" xfId="0" applyFont="1" applyBorder="1"/>
    <xf numFmtId="0" fontId="6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Protection="1">
      <protection locked="0"/>
    </xf>
    <xf numFmtId="4" fontId="6" fillId="0" borderId="2" xfId="0" applyNumberFormat="1" applyFont="1" applyFill="1" applyBorder="1"/>
    <xf numFmtId="4" fontId="5" fillId="0" borderId="2" xfId="0" applyNumberFormat="1" applyFont="1" applyFill="1" applyBorder="1"/>
    <xf numFmtId="4" fontId="5" fillId="0" borderId="2" xfId="0" applyNumberFormat="1" applyFont="1" applyBorder="1"/>
    <xf numFmtId="164" fontId="5" fillId="0" borderId="0" xfId="0" applyNumberFormat="1" applyFont="1" applyFill="1" applyBorder="1" applyProtection="1">
      <protection locked="0"/>
    </xf>
    <xf numFmtId="14" fontId="6" fillId="0" borderId="0" xfId="0" applyNumberFormat="1" applyFont="1" applyFill="1" applyAlignment="1" applyProtection="1">
      <alignment horizontal="center" vertical="center" wrapText="1"/>
      <protection locked="0"/>
    </xf>
    <xf numFmtId="4" fontId="6" fillId="0" borderId="0" xfId="0" applyNumberFormat="1" applyFont="1" applyFill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14" fontId="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5" fillId="0" borderId="0" xfId="1" applyNumberFormat="1" applyFont="1" applyFill="1" applyAlignment="1">
      <alignment horizontal="right" vertical="center"/>
    </xf>
    <xf numFmtId="4" fontId="6" fillId="0" borderId="0" xfId="2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5" fontId="5" fillId="0" borderId="1" xfId="0" applyNumberFormat="1" applyFont="1" applyBorder="1"/>
    <xf numFmtId="16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0" applyNumberFormat="1" applyFont="1" applyFill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16" fontId="5" fillId="0" borderId="0" xfId="0" applyNumberFormat="1" applyFont="1" applyAlignment="1">
      <alignment horizontal="center"/>
    </xf>
    <xf numFmtId="14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Fill="1"/>
    <xf numFmtId="164" fontId="5" fillId="0" borderId="0" xfId="1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164" fontId="5" fillId="0" borderId="0" xfId="1" applyNumberFormat="1" applyFont="1"/>
    <xf numFmtId="4" fontId="5" fillId="4" borderId="0" xfId="0" applyNumberFormat="1" applyFont="1" applyFill="1"/>
    <xf numFmtId="167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5" fontId="6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168" fontId="2" fillId="0" borderId="0" xfId="0" applyNumberFormat="1" applyFont="1"/>
    <xf numFmtId="0" fontId="0" fillId="0" borderId="0" xfId="0" applyAlignment="1">
      <alignment horizontal="center"/>
    </xf>
    <xf numFmtId="169" fontId="0" fillId="0" borderId="0" xfId="0" applyNumberFormat="1"/>
    <xf numFmtId="4" fontId="0" fillId="0" borderId="0" xfId="0" applyNumberFormat="1"/>
    <xf numFmtId="168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Fill="1"/>
    <xf numFmtId="4" fontId="13" fillId="0" borderId="0" xfId="0" applyNumberFormat="1" applyFont="1"/>
    <xf numFmtId="168" fontId="0" fillId="0" borderId="0" xfId="0" applyNumberFormat="1" applyFill="1"/>
    <xf numFmtId="0" fontId="0" fillId="0" borderId="0" xfId="0" applyAlignment="1">
      <alignment horizontal="left" indent="1"/>
    </xf>
    <xf numFmtId="4" fontId="0" fillId="5" borderId="0" xfId="0" applyNumberFormat="1" applyFill="1"/>
    <xf numFmtId="0" fontId="0" fillId="4" borderId="0" xfId="0" applyFill="1"/>
    <xf numFmtId="16" fontId="0" fillId="0" borderId="0" xfId="0" applyNumberFormat="1"/>
    <xf numFmtId="0" fontId="0" fillId="6" borderId="0" xfId="0" applyFill="1"/>
    <xf numFmtId="169" fontId="0" fillId="0" borderId="0" xfId="0" applyNumberForma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43" fontId="0" fillId="0" borderId="0" xfId="0" applyNumberFormat="1"/>
    <xf numFmtId="169" fontId="0" fillId="0" borderId="3" xfId="0" applyNumberFormat="1" applyBorder="1"/>
    <xf numFmtId="0" fontId="2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165" fontId="1" fillId="0" borderId="0" xfId="1"/>
    <xf numFmtId="165" fontId="0" fillId="0" borderId="3" xfId="0" applyNumberFormat="1" applyBorder="1"/>
    <xf numFmtId="165" fontId="0" fillId="0" borderId="0" xfId="0" applyNumberFormat="1"/>
    <xf numFmtId="0" fontId="15" fillId="0" borderId="0" xfId="4" applyFont="1"/>
    <xf numFmtId="0" fontId="1" fillId="0" borderId="0" xfId="4"/>
    <xf numFmtId="0" fontId="2" fillId="0" borderId="0" xfId="4" applyFont="1"/>
    <xf numFmtId="0" fontId="1" fillId="0" borderId="0" xfId="4" applyAlignment="1">
      <alignment horizontal="center"/>
    </xf>
    <xf numFmtId="0" fontId="1" fillId="0" borderId="0" xfId="4" applyFont="1"/>
    <xf numFmtId="39" fontId="1" fillId="0" borderId="0" xfId="3" applyNumberFormat="1"/>
    <xf numFmtId="39" fontId="1" fillId="0" borderId="2" xfId="3" applyNumberFormat="1" applyBorder="1"/>
    <xf numFmtId="39" fontId="1" fillId="0" borderId="0" xfId="3" applyNumberFormat="1" applyFont="1"/>
    <xf numFmtId="39" fontId="1" fillId="0" borderId="0" xfId="3" applyNumberFormat="1" applyFill="1"/>
    <xf numFmtId="0" fontId="0" fillId="0" borderId="0" xfId="4" applyFont="1" applyFill="1"/>
    <xf numFmtId="14" fontId="0" fillId="0" borderId="0" xfId="4" applyNumberFormat="1" applyFont="1" applyFill="1" applyAlignment="1">
      <alignment horizontal="center"/>
    </xf>
    <xf numFmtId="39" fontId="2" fillId="0" borderId="4" xfId="3" applyNumberFormat="1" applyFont="1" applyBorder="1"/>
    <xf numFmtId="39" fontId="2" fillId="0" borderId="0" xfId="3" applyNumberFormat="1" applyFont="1"/>
    <xf numFmtId="39" fontId="1" fillId="0" borderId="2" xfId="3" applyNumberFormat="1" applyBorder="1" applyAlignment="1">
      <alignment horizontal="right"/>
    </xf>
    <xf numFmtId="16" fontId="1" fillId="0" borderId="0" xfId="4" applyNumberFormat="1"/>
    <xf numFmtId="39" fontId="1" fillId="0" borderId="0" xfId="3" applyNumberFormat="1" applyAlignment="1">
      <alignment horizontal="right"/>
    </xf>
    <xf numFmtId="0" fontId="1" fillId="0" borderId="0" xfId="4" applyFill="1" applyAlignment="1">
      <alignment horizontal="right"/>
    </xf>
    <xf numFmtId="0" fontId="2" fillId="0" borderId="0" xfId="4" applyFont="1" applyFill="1"/>
    <xf numFmtId="14" fontId="2" fillId="0" borderId="0" xfId="4" applyNumberFormat="1" applyFont="1" applyFill="1" applyAlignment="1">
      <alignment horizontal="center"/>
    </xf>
    <xf numFmtId="39" fontId="2" fillId="0" borderId="3" xfId="3" applyNumberFormat="1" applyFont="1" applyBorder="1" applyAlignment="1">
      <alignment horizontal="right"/>
    </xf>
    <xf numFmtId="165" fontId="1" fillId="0" borderId="0" xfId="4" applyNumberFormat="1"/>
    <xf numFmtId="165" fontId="1" fillId="0" borderId="0" xfId="3" applyAlignment="1">
      <alignment horizontal="right"/>
    </xf>
    <xf numFmtId="165" fontId="1" fillId="0" borderId="0" xfId="3"/>
    <xf numFmtId="165" fontId="2" fillId="0" borderId="0" xfId="4" applyNumberFormat="1" applyFont="1"/>
  </cellXfs>
  <cellStyles count="16">
    <cellStyle name="Comma" xfId="1" builtinId="3"/>
    <cellStyle name="Comma 2" xfId="3"/>
    <cellStyle name="Comma 3" xfId="5"/>
    <cellStyle name="Currency" xfId="2" builtinId="4"/>
    <cellStyle name="Currency 2" xfId="6"/>
    <cellStyle name="Excel Built-in Normal 1" xfId="7"/>
    <cellStyle name="Normal" xfId="0" builtinId="0"/>
    <cellStyle name="Normal 10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rundall%20PC%20Accounts%202019-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ounts Summaries"/>
      <sheetName val="Accounts Summaries pj"/>
      <sheetName val="Expenditure"/>
      <sheetName val="Income"/>
      <sheetName val="BDC Deposit"/>
      <sheetName val="Bank Rec"/>
      <sheetName val="Inc&amp;Expend (2)"/>
      <sheetName val="Virements"/>
      <sheetName val="Land Management"/>
      <sheetName val="Cremer's Budget"/>
      <sheetName val="S106"/>
      <sheetName val="Sports Hub"/>
      <sheetName val="Persimmon"/>
      <sheetName val="Donations"/>
      <sheetName val="Invoices"/>
      <sheetName val="Sheet2"/>
      <sheetName val="Inc&amp;Exp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B12">
            <v>115141.89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6"/>
  <sheetViews>
    <sheetView view="pageBreakPreview" zoomScale="90" zoomScaleNormal="90" zoomScaleSheetLayoutView="90" workbookViewId="0">
      <pane xSplit="5" ySplit="4" topLeftCell="F267" activePane="bottomRight" state="frozen"/>
      <selection activeCell="I292" sqref="I292"/>
      <selection pane="topRight" activeCell="I292" sqref="I292"/>
      <selection pane="bottomLeft" activeCell="I292" sqref="I292"/>
      <selection pane="bottomRight" activeCell="I292" sqref="I292"/>
    </sheetView>
  </sheetViews>
  <sheetFormatPr defaultColWidth="8.7109375" defaultRowHeight="12"/>
  <cols>
    <col min="1" max="1" width="12.140625" style="10" customWidth="1"/>
    <col min="2" max="2" width="9.140625" style="3" customWidth="1"/>
    <col min="3" max="3" width="12" style="3" bestFit="1" customWidth="1"/>
    <col min="4" max="4" width="30.7109375" style="4" customWidth="1"/>
    <col min="5" max="5" width="45.140625" style="4" customWidth="1"/>
    <col min="6" max="6" width="3" style="4" customWidth="1"/>
    <col min="7" max="7" width="5.7109375" style="5" customWidth="1"/>
    <col min="8" max="8" width="13.85546875" style="6" customWidth="1"/>
    <col min="9" max="9" width="10" style="7" bestFit="1" customWidth="1"/>
    <col min="10" max="10" width="8.85546875" style="8" bestFit="1" customWidth="1"/>
    <col min="11" max="11" width="8.5703125" style="8" bestFit="1" customWidth="1"/>
    <col min="12" max="12" width="8.85546875" style="8" bestFit="1" customWidth="1"/>
    <col min="13" max="13" width="7.85546875" style="8" bestFit="1" customWidth="1"/>
    <col min="14" max="14" width="8.5703125" style="8" customWidth="1"/>
    <col min="15" max="15" width="7.5703125" style="8" bestFit="1" customWidth="1"/>
    <col min="16" max="17" width="8.85546875" style="8" customWidth="1"/>
    <col min="18" max="19" width="7.85546875" style="8" bestFit="1" customWidth="1"/>
    <col min="20" max="20" width="9" style="8" bestFit="1" customWidth="1"/>
    <col min="21" max="21" width="8.85546875" style="8" customWidth="1"/>
    <col min="22" max="22" width="7.5703125" style="8" bestFit="1" customWidth="1"/>
    <col min="23" max="24" width="8.5703125" style="8" bestFit="1" customWidth="1"/>
    <col min="25" max="25" width="9.140625" style="8" bestFit="1" customWidth="1"/>
    <col min="26" max="26" width="9.28515625" style="8" bestFit="1" customWidth="1"/>
    <col min="27" max="27" width="10.140625" style="8" customWidth="1"/>
    <col min="28" max="28" width="10.28515625" style="8" customWidth="1"/>
    <col min="29" max="29" width="8.7109375" style="8" bestFit="1" customWidth="1"/>
    <col min="30" max="30" width="11.5703125" style="8" bestFit="1" customWidth="1"/>
    <col min="31" max="31" width="8.140625" style="8" bestFit="1" customWidth="1"/>
    <col min="32" max="33" width="8.7109375" style="8" bestFit="1" customWidth="1"/>
    <col min="34" max="34" width="7.85546875" style="8" bestFit="1" customWidth="1"/>
    <col min="35" max="36" width="10.28515625" style="8" customWidth="1"/>
    <col min="37" max="37" width="10.5703125" style="8" bestFit="1" customWidth="1"/>
    <col min="38" max="38" width="8.140625" style="8" bestFit="1" customWidth="1"/>
    <col min="39" max="39" width="7.85546875" style="8" bestFit="1" customWidth="1"/>
    <col min="40" max="40" width="10.140625" style="8" customWidth="1"/>
    <col min="41" max="41" width="9.140625" style="8" bestFit="1" customWidth="1"/>
    <col min="42" max="42" width="6.7109375" style="8" customWidth="1"/>
    <col min="43" max="43" width="8.85546875" style="8" customWidth="1"/>
    <col min="44" max="45" width="8.28515625" style="8" bestFit="1" customWidth="1"/>
    <col min="46" max="46" width="8.5703125" style="8" bestFit="1" customWidth="1"/>
    <col min="47" max="47" width="10.85546875" style="8" customWidth="1"/>
    <col min="48" max="48" width="8.85546875" style="8" bestFit="1" customWidth="1"/>
    <col min="49" max="49" width="7.28515625" style="8" bestFit="1" customWidth="1"/>
    <col min="50" max="50" width="9" style="8" bestFit="1" customWidth="1"/>
    <col min="51" max="51" width="12.85546875" style="8" customWidth="1"/>
    <col min="52" max="16384" width="8.7109375" style="4"/>
  </cols>
  <sheetData>
    <row r="1" spans="1:52" ht="15">
      <c r="A1" s="1" t="s">
        <v>0</v>
      </c>
      <c r="B1" s="2"/>
      <c r="E1" s="4" t="s">
        <v>1</v>
      </c>
      <c r="J1" s="8" t="s">
        <v>2</v>
      </c>
      <c r="AB1" s="8" t="s">
        <v>3</v>
      </c>
    </row>
    <row r="2" spans="1:52">
      <c r="A2" s="9" t="s">
        <v>4</v>
      </c>
      <c r="B2" s="2"/>
      <c r="L2" s="8" t="s">
        <v>5</v>
      </c>
      <c r="Q2" s="8" t="s">
        <v>6</v>
      </c>
      <c r="T2" s="8" t="s">
        <v>7</v>
      </c>
      <c r="Z2" s="8" t="s">
        <v>8</v>
      </c>
      <c r="AA2" s="8" t="s">
        <v>9</v>
      </c>
      <c r="AB2" s="8" t="s">
        <v>10</v>
      </c>
      <c r="AM2" s="8" t="s">
        <v>11</v>
      </c>
    </row>
    <row r="3" spans="1:52">
      <c r="L3" s="8" t="s">
        <v>12</v>
      </c>
      <c r="O3" s="8" t="s">
        <v>13</v>
      </c>
      <c r="P3" s="8" t="s">
        <v>6</v>
      </c>
      <c r="Q3" s="8" t="s">
        <v>14</v>
      </c>
      <c r="R3" s="8" t="s">
        <v>6</v>
      </c>
      <c r="S3" s="8" t="s">
        <v>15</v>
      </c>
      <c r="T3" s="8" t="s">
        <v>16</v>
      </c>
      <c r="U3" s="8" t="s">
        <v>17</v>
      </c>
      <c r="W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E3" s="8" t="s">
        <v>24</v>
      </c>
      <c r="AF3" s="8" t="s">
        <v>23</v>
      </c>
      <c r="AG3" s="8" t="s">
        <v>23</v>
      </c>
      <c r="AH3" s="8" t="s">
        <v>11</v>
      </c>
      <c r="AI3" s="8" t="s">
        <v>11</v>
      </c>
      <c r="AJ3" s="8" t="s">
        <v>25</v>
      </c>
      <c r="AK3" s="8" t="s">
        <v>11</v>
      </c>
      <c r="AM3" s="8" t="s">
        <v>26</v>
      </c>
      <c r="AN3" s="8" t="s">
        <v>27</v>
      </c>
      <c r="AO3" s="8" t="s">
        <v>28</v>
      </c>
      <c r="AP3" s="8" t="s">
        <v>29</v>
      </c>
      <c r="AQ3" s="8" t="s">
        <v>30</v>
      </c>
      <c r="AR3" s="8" t="s">
        <v>31</v>
      </c>
      <c r="AS3" s="8" t="s">
        <v>32</v>
      </c>
      <c r="AT3" s="8" t="s">
        <v>33</v>
      </c>
      <c r="AU3" s="8" t="s">
        <v>34</v>
      </c>
      <c r="AV3" s="8" t="s">
        <v>35</v>
      </c>
      <c r="AY3" s="8" t="s">
        <v>36</v>
      </c>
    </row>
    <row r="4" spans="1:52">
      <c r="A4" s="10" t="s">
        <v>37</v>
      </c>
      <c r="B4" s="3" t="s">
        <v>38</v>
      </c>
      <c r="C4" s="3" t="s">
        <v>39</v>
      </c>
      <c r="D4" s="4" t="s">
        <v>40</v>
      </c>
      <c r="E4" s="4" t="s">
        <v>41</v>
      </c>
      <c r="G4" s="5" t="s">
        <v>42</v>
      </c>
      <c r="H4" s="6" t="s">
        <v>43</v>
      </c>
      <c r="I4" s="7" t="s">
        <v>44</v>
      </c>
      <c r="J4" s="8" t="s">
        <v>45</v>
      </c>
      <c r="K4" s="8" t="s">
        <v>46</v>
      </c>
      <c r="L4" s="8" t="s">
        <v>47</v>
      </c>
      <c r="M4" s="8" t="s">
        <v>48</v>
      </c>
      <c r="N4" s="8" t="s">
        <v>49</v>
      </c>
      <c r="O4" s="8" t="s">
        <v>50</v>
      </c>
      <c r="P4" s="8" t="s">
        <v>14</v>
      </c>
      <c r="Q4" s="8" t="s">
        <v>51</v>
      </c>
      <c r="R4" s="8" t="s">
        <v>52</v>
      </c>
      <c r="S4" s="8" t="s">
        <v>53</v>
      </c>
      <c r="T4" s="8" t="s">
        <v>54</v>
      </c>
      <c r="V4" s="8" t="s">
        <v>55</v>
      </c>
      <c r="W4" s="8" t="s">
        <v>56</v>
      </c>
      <c r="X4" s="8" t="s">
        <v>57</v>
      </c>
      <c r="Y4" s="8" t="s">
        <v>58</v>
      </c>
      <c r="Z4" s="8" t="s">
        <v>59</v>
      </c>
      <c r="AA4" s="8" t="s">
        <v>60</v>
      </c>
      <c r="AB4" s="8" t="s">
        <v>61</v>
      </c>
      <c r="AC4" s="8" t="s">
        <v>24</v>
      </c>
      <c r="AD4" s="8" t="s">
        <v>62</v>
      </c>
      <c r="AE4" s="8" t="s">
        <v>63</v>
      </c>
      <c r="AF4" s="8" t="s">
        <v>51</v>
      </c>
      <c r="AG4" s="8" t="s">
        <v>64</v>
      </c>
      <c r="AH4" s="8" t="s">
        <v>65</v>
      </c>
      <c r="AI4" s="8" t="s">
        <v>66</v>
      </c>
      <c r="AJ4" s="8" t="s">
        <v>14</v>
      </c>
      <c r="AK4" s="8" t="s">
        <v>67</v>
      </c>
      <c r="AL4" s="8" t="s">
        <v>63</v>
      </c>
      <c r="AM4" s="8" t="s">
        <v>68</v>
      </c>
      <c r="AN4" s="8" t="s">
        <v>69</v>
      </c>
      <c r="AO4" s="8" t="s">
        <v>70</v>
      </c>
      <c r="AP4" s="8" t="s">
        <v>71</v>
      </c>
      <c r="AQ4" s="8" t="s">
        <v>72</v>
      </c>
      <c r="AR4" s="8" t="s">
        <v>73</v>
      </c>
      <c r="AS4" s="8" t="s">
        <v>74</v>
      </c>
      <c r="AT4" s="8" t="s">
        <v>75</v>
      </c>
      <c r="AU4" s="8" t="s">
        <v>76</v>
      </c>
      <c r="AW4" s="8" t="s">
        <v>77</v>
      </c>
      <c r="AX4" s="8" t="s">
        <v>78</v>
      </c>
    </row>
    <row r="5" spans="1:52">
      <c r="A5" s="11">
        <v>43556</v>
      </c>
      <c r="B5" s="12"/>
      <c r="C5" s="13" t="s">
        <v>79</v>
      </c>
      <c r="D5" s="14" t="s">
        <v>80</v>
      </c>
      <c r="E5" s="14" t="s">
        <v>81</v>
      </c>
      <c r="G5" s="15" t="s">
        <v>82</v>
      </c>
      <c r="H5" s="16">
        <v>1922.04</v>
      </c>
      <c r="I5" s="17"/>
      <c r="J5" s="18">
        <v>1922.04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8">
        <f>SUM(I5:AX5)</f>
        <v>1922.04</v>
      </c>
      <c r="AZ5" s="4">
        <f t="shared" ref="AZ5:AZ68" si="0">AY5-H5</f>
        <v>0</v>
      </c>
    </row>
    <row r="6" spans="1:52">
      <c r="A6" s="11">
        <v>43558</v>
      </c>
      <c r="B6" s="12"/>
      <c r="C6" s="19" t="s">
        <v>83</v>
      </c>
      <c r="D6" s="20" t="s">
        <v>84</v>
      </c>
      <c r="E6" s="20" t="s">
        <v>85</v>
      </c>
      <c r="G6" s="21" t="s">
        <v>82</v>
      </c>
      <c r="H6" s="22">
        <v>7</v>
      </c>
      <c r="I6" s="17"/>
      <c r="J6" s="18"/>
      <c r="K6" s="18"/>
      <c r="L6" s="18"/>
      <c r="M6" s="18"/>
      <c r="N6" s="23"/>
      <c r="O6" s="18"/>
      <c r="P6" s="18"/>
      <c r="Q6" s="18">
        <v>7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8">
        <f t="shared" ref="AY6:AY69" si="1">SUM(I6:AX6)</f>
        <v>7</v>
      </c>
      <c r="AZ6" s="4">
        <f t="shared" si="0"/>
        <v>0</v>
      </c>
    </row>
    <row r="7" spans="1:52">
      <c r="A7" s="11">
        <v>43566</v>
      </c>
      <c r="B7" s="12"/>
      <c r="C7" s="19" t="s">
        <v>83</v>
      </c>
      <c r="D7" s="24" t="s">
        <v>86</v>
      </c>
      <c r="E7" s="24" t="s">
        <v>87</v>
      </c>
      <c r="G7" s="21" t="s">
        <v>82</v>
      </c>
      <c r="H7" s="25">
        <v>75.12</v>
      </c>
      <c r="I7" s="26">
        <v>12.52</v>
      </c>
      <c r="J7" s="18"/>
      <c r="K7" s="18"/>
      <c r="L7" s="18"/>
      <c r="M7" s="18"/>
      <c r="N7" s="18">
        <v>62.6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8">
        <f t="shared" si="1"/>
        <v>75.12</v>
      </c>
      <c r="AZ7" s="4">
        <f t="shared" si="0"/>
        <v>0</v>
      </c>
    </row>
    <row r="8" spans="1:52">
      <c r="A8" s="11">
        <v>43572</v>
      </c>
      <c r="B8" s="12"/>
      <c r="C8" s="19" t="s">
        <v>83</v>
      </c>
      <c r="D8" s="20" t="s">
        <v>88</v>
      </c>
      <c r="E8" s="27" t="s">
        <v>89</v>
      </c>
      <c r="G8" s="21" t="s">
        <v>82</v>
      </c>
      <c r="H8" s="28">
        <v>560.99</v>
      </c>
      <c r="I8" s="17">
        <v>93.5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>
        <v>467.49</v>
      </c>
      <c r="AU8" s="18"/>
      <c r="AV8" s="18"/>
      <c r="AW8" s="18"/>
      <c r="AX8" s="18"/>
      <c r="AY8" s="8">
        <f t="shared" si="1"/>
        <v>560.99</v>
      </c>
      <c r="AZ8" s="4">
        <f t="shared" si="0"/>
        <v>0</v>
      </c>
    </row>
    <row r="9" spans="1:52">
      <c r="A9" s="11">
        <v>43585</v>
      </c>
      <c r="B9" s="12"/>
      <c r="C9" s="19" t="s">
        <v>83</v>
      </c>
      <c r="D9" s="24" t="s">
        <v>90</v>
      </c>
      <c r="E9" s="24" t="s">
        <v>91</v>
      </c>
      <c r="G9" s="21" t="s">
        <v>82</v>
      </c>
      <c r="H9" s="16">
        <v>14.38</v>
      </c>
      <c r="I9" s="26">
        <v>2.4</v>
      </c>
      <c r="J9" s="18"/>
      <c r="K9" s="18"/>
      <c r="L9" s="18"/>
      <c r="M9" s="18"/>
      <c r="N9" s="18"/>
      <c r="O9" s="18"/>
      <c r="P9" s="18"/>
      <c r="Q9" s="18"/>
      <c r="R9" s="18">
        <v>11.98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8">
        <f t="shared" si="1"/>
        <v>14.38</v>
      </c>
      <c r="AZ9" s="4">
        <f t="shared" si="0"/>
        <v>0</v>
      </c>
    </row>
    <row r="10" spans="1:52">
      <c r="A10" s="11">
        <v>43585</v>
      </c>
      <c r="B10" s="12" t="s">
        <v>92</v>
      </c>
      <c r="C10" s="19"/>
      <c r="D10" s="24" t="s">
        <v>46</v>
      </c>
      <c r="E10" s="24" t="s">
        <v>93</v>
      </c>
      <c r="G10" s="21" t="s">
        <v>82</v>
      </c>
      <c r="H10" s="16">
        <v>791.35</v>
      </c>
      <c r="I10" s="26"/>
      <c r="J10" s="18"/>
      <c r="K10" s="18">
        <v>791.35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8">
        <f t="shared" si="1"/>
        <v>791.35</v>
      </c>
      <c r="AZ10" s="4">
        <f t="shared" si="0"/>
        <v>0</v>
      </c>
    </row>
    <row r="11" spans="1:52">
      <c r="A11" s="11">
        <v>43585</v>
      </c>
      <c r="B11" s="12" t="s">
        <v>94</v>
      </c>
      <c r="C11" s="29"/>
      <c r="D11" s="30" t="s">
        <v>95</v>
      </c>
      <c r="E11" s="24" t="s">
        <v>81</v>
      </c>
      <c r="G11" s="21" t="s">
        <v>82</v>
      </c>
      <c r="H11" s="16">
        <v>639.35</v>
      </c>
      <c r="I11" s="26"/>
      <c r="J11" s="18">
        <v>639.35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8">
        <f t="shared" si="1"/>
        <v>639.35</v>
      </c>
      <c r="AZ11" s="4">
        <f t="shared" si="0"/>
        <v>0</v>
      </c>
    </row>
    <row r="12" spans="1:52">
      <c r="A12" s="11">
        <v>43585</v>
      </c>
      <c r="B12" s="12" t="s">
        <v>96</v>
      </c>
      <c r="C12" s="29"/>
      <c r="D12" s="30" t="s">
        <v>97</v>
      </c>
      <c r="E12" s="24" t="s">
        <v>98</v>
      </c>
      <c r="G12" s="21" t="s">
        <v>82</v>
      </c>
      <c r="H12" s="16">
        <v>22.5</v>
      </c>
      <c r="I12" s="26"/>
      <c r="J12" s="18"/>
      <c r="K12" s="18"/>
      <c r="L12" s="18"/>
      <c r="M12" s="18"/>
      <c r="N12" s="18"/>
      <c r="O12" s="18"/>
      <c r="P12" s="18"/>
      <c r="Q12" s="18"/>
      <c r="R12" s="18"/>
      <c r="S12" s="18">
        <v>22.5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8">
        <f>SUM(I12:AX12)</f>
        <v>22.5</v>
      </c>
      <c r="AZ12" s="4">
        <f t="shared" si="0"/>
        <v>0</v>
      </c>
    </row>
    <row r="13" spans="1:52">
      <c r="A13" s="11">
        <v>43585</v>
      </c>
      <c r="B13" s="12" t="s">
        <v>99</v>
      </c>
      <c r="C13" s="31"/>
      <c r="D13" s="24" t="s">
        <v>100</v>
      </c>
      <c r="E13" s="24" t="s">
        <v>101</v>
      </c>
      <c r="G13" s="21" t="s">
        <v>82</v>
      </c>
      <c r="H13" s="16">
        <v>101.67</v>
      </c>
      <c r="I13" s="26"/>
      <c r="J13" s="18"/>
      <c r="K13" s="18"/>
      <c r="L13" s="18"/>
      <c r="M13" s="18"/>
      <c r="N13" s="18"/>
      <c r="O13" s="18"/>
      <c r="P13" s="18"/>
      <c r="Q13" s="18"/>
      <c r="R13" s="18">
        <v>41.67</v>
      </c>
      <c r="S13" s="18">
        <v>60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8">
        <f t="shared" si="1"/>
        <v>101.67</v>
      </c>
      <c r="AZ13" s="4">
        <f t="shared" si="0"/>
        <v>0</v>
      </c>
    </row>
    <row r="14" spans="1:52">
      <c r="A14" s="11">
        <v>43585</v>
      </c>
      <c r="B14" s="12" t="s">
        <v>102</v>
      </c>
      <c r="C14" s="31"/>
      <c r="D14" s="24" t="s">
        <v>103</v>
      </c>
      <c r="E14" s="24" t="s">
        <v>104</v>
      </c>
      <c r="G14" s="21" t="s">
        <v>82</v>
      </c>
      <c r="H14" s="16">
        <v>657.55</v>
      </c>
      <c r="I14" s="32">
        <v>109.59</v>
      </c>
      <c r="AA14" s="8">
        <v>188.08</v>
      </c>
      <c r="AB14" s="8">
        <v>45.87</v>
      </c>
      <c r="AC14" s="8">
        <f>105.51+22.94</f>
        <v>128.45000000000002</v>
      </c>
      <c r="AD14" s="8">
        <v>140.06</v>
      </c>
      <c r="AE14" s="8">
        <v>42</v>
      </c>
      <c r="AI14" s="8">
        <v>3.5</v>
      </c>
      <c r="AY14" s="8">
        <f t="shared" si="1"/>
        <v>657.55</v>
      </c>
      <c r="AZ14" s="4">
        <f t="shared" si="0"/>
        <v>0</v>
      </c>
    </row>
    <row r="15" spans="1:52">
      <c r="A15" s="11">
        <v>43585</v>
      </c>
      <c r="B15" s="12" t="s">
        <v>105</v>
      </c>
      <c r="C15" s="31"/>
      <c r="D15" s="24" t="s">
        <v>106</v>
      </c>
      <c r="E15" s="24" t="s">
        <v>107</v>
      </c>
      <c r="G15" s="21" t="s">
        <v>82</v>
      </c>
      <c r="H15" s="16">
        <v>453</v>
      </c>
      <c r="I15" s="2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453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8">
        <f>SUM(I15:AX15)</f>
        <v>453</v>
      </c>
      <c r="AZ15" s="4">
        <f t="shared" si="0"/>
        <v>0</v>
      </c>
    </row>
    <row r="16" spans="1:52">
      <c r="A16" s="11">
        <v>43585</v>
      </c>
      <c r="C16" s="31"/>
      <c r="D16" s="24" t="s">
        <v>80</v>
      </c>
      <c r="E16" s="24" t="s">
        <v>108</v>
      </c>
      <c r="G16" s="21" t="s">
        <v>82</v>
      </c>
      <c r="H16" s="16">
        <v>45.63</v>
      </c>
      <c r="I16" s="26"/>
      <c r="J16" s="18">
        <v>45.63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8">
        <f t="shared" si="1"/>
        <v>45.63</v>
      </c>
      <c r="AZ16" s="4">
        <f t="shared" si="0"/>
        <v>0</v>
      </c>
    </row>
    <row r="17" spans="1:52">
      <c r="A17" s="11">
        <v>43585</v>
      </c>
      <c r="B17" s="12" t="s">
        <v>109</v>
      </c>
      <c r="C17" s="31"/>
      <c r="D17" s="24" t="s">
        <v>80</v>
      </c>
      <c r="E17" s="24" t="s">
        <v>110</v>
      </c>
      <c r="G17" s="21" t="s">
        <v>82</v>
      </c>
      <c r="H17" s="16">
        <v>43.35</v>
      </c>
      <c r="I17" s="26">
        <v>4.8899999999999997</v>
      </c>
      <c r="J17" s="18"/>
      <c r="K17" s="18"/>
      <c r="L17" s="18"/>
      <c r="M17" s="18"/>
      <c r="N17" s="18"/>
      <c r="O17" s="18">
        <v>38.46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8">
        <f t="shared" si="1"/>
        <v>43.35</v>
      </c>
      <c r="AZ17" s="4">
        <f t="shared" si="0"/>
        <v>0</v>
      </c>
    </row>
    <row r="18" spans="1:52">
      <c r="A18" s="11">
        <v>43585</v>
      </c>
      <c r="B18" s="12" t="s">
        <v>111</v>
      </c>
      <c r="C18" s="31"/>
      <c r="D18" s="24" t="s">
        <v>95</v>
      </c>
      <c r="E18" s="24" t="s">
        <v>112</v>
      </c>
      <c r="G18" s="21" t="s">
        <v>82</v>
      </c>
      <c r="H18" s="16">
        <v>519.98</v>
      </c>
      <c r="I18" s="26">
        <v>86.67</v>
      </c>
      <c r="J18" s="18"/>
      <c r="K18" s="18"/>
      <c r="L18" s="18"/>
      <c r="M18" s="18"/>
      <c r="N18" s="18"/>
      <c r="O18" s="18"/>
      <c r="P18" s="18">
        <v>333.32</v>
      </c>
      <c r="Q18" s="18"/>
      <c r="R18" s="18">
        <v>99.99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8">
        <f t="shared" si="1"/>
        <v>519.98</v>
      </c>
      <c r="AZ18" s="4">
        <f t="shared" si="0"/>
        <v>0</v>
      </c>
    </row>
    <row r="19" spans="1:52">
      <c r="A19" s="11">
        <v>43585</v>
      </c>
      <c r="B19" s="12" t="s">
        <v>113</v>
      </c>
      <c r="C19" s="31"/>
      <c r="D19" s="24" t="s">
        <v>114</v>
      </c>
      <c r="E19" s="24" t="s">
        <v>115</v>
      </c>
      <c r="G19" s="21" t="s">
        <v>82</v>
      </c>
      <c r="H19" s="16">
        <v>8.49</v>
      </c>
      <c r="I19" s="2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v>8.49</v>
      </c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8">
        <f t="shared" si="1"/>
        <v>8.49</v>
      </c>
      <c r="AZ19" s="4">
        <f t="shared" si="0"/>
        <v>0</v>
      </c>
    </row>
    <row r="20" spans="1:52">
      <c r="A20" s="11">
        <v>43585</v>
      </c>
      <c r="B20" s="12" t="s">
        <v>116</v>
      </c>
      <c r="C20" s="31"/>
      <c r="D20" s="24" t="s">
        <v>117</v>
      </c>
      <c r="E20" s="24" t="s">
        <v>118</v>
      </c>
      <c r="G20" s="21" t="s">
        <v>82</v>
      </c>
      <c r="H20" s="16">
        <v>520.25</v>
      </c>
      <c r="I20" s="17"/>
      <c r="J20" s="18"/>
      <c r="K20" s="18"/>
      <c r="L20" s="18">
        <v>520.25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8">
        <f t="shared" si="1"/>
        <v>520.25</v>
      </c>
      <c r="AZ20" s="4">
        <f t="shared" si="0"/>
        <v>0</v>
      </c>
    </row>
    <row r="21" spans="1:52" ht="11.25" customHeight="1">
      <c r="A21" s="11">
        <v>43585</v>
      </c>
      <c r="B21" s="12" t="s">
        <v>119</v>
      </c>
      <c r="C21" s="31"/>
      <c r="D21" s="24" t="s">
        <v>120</v>
      </c>
      <c r="E21" s="24" t="s">
        <v>121</v>
      </c>
      <c r="G21" s="21" t="s">
        <v>82</v>
      </c>
      <c r="H21" s="16">
        <v>16.420000000000002</v>
      </c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v>16.420000000000002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8">
        <f t="shared" si="1"/>
        <v>16.420000000000002</v>
      </c>
      <c r="AZ21" s="4">
        <f t="shared" si="0"/>
        <v>0</v>
      </c>
    </row>
    <row r="22" spans="1:52">
      <c r="A22" s="11">
        <v>43585</v>
      </c>
      <c r="B22" s="12" t="s">
        <v>122</v>
      </c>
      <c r="C22" s="31"/>
      <c r="D22" s="24" t="s">
        <v>123</v>
      </c>
      <c r="E22" s="24" t="s">
        <v>124</v>
      </c>
      <c r="G22" s="21" t="s">
        <v>82</v>
      </c>
      <c r="H22" s="16">
        <v>735</v>
      </c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>
        <v>735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8">
        <f t="shared" si="1"/>
        <v>735</v>
      </c>
      <c r="AZ22" s="4">
        <f t="shared" si="0"/>
        <v>0</v>
      </c>
    </row>
    <row r="23" spans="1:52" ht="12" customHeight="1">
      <c r="A23" s="11">
        <v>43585</v>
      </c>
      <c r="B23" s="12" t="s">
        <v>125</v>
      </c>
      <c r="C23" s="31"/>
      <c r="D23" s="24" t="s">
        <v>126</v>
      </c>
      <c r="E23" s="24" t="s">
        <v>127</v>
      </c>
      <c r="G23" s="21" t="s">
        <v>82</v>
      </c>
      <c r="H23" s="16">
        <v>945</v>
      </c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>
        <v>472.5</v>
      </c>
      <c r="AI23" s="18">
        <v>472.5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8">
        <f t="shared" si="1"/>
        <v>945</v>
      </c>
      <c r="AZ23" s="4">
        <f t="shared" si="0"/>
        <v>0</v>
      </c>
    </row>
    <row r="24" spans="1:52" ht="12" customHeight="1">
      <c r="A24" s="11">
        <v>43585</v>
      </c>
      <c r="B24" s="12" t="s">
        <v>128</v>
      </c>
      <c r="C24" s="31"/>
      <c r="D24" s="20" t="s">
        <v>129</v>
      </c>
      <c r="E24" s="20" t="s">
        <v>130</v>
      </c>
      <c r="G24" s="21" t="s">
        <v>82</v>
      </c>
      <c r="H24" s="22">
        <v>693.97</v>
      </c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693.97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8">
        <f t="shared" si="1"/>
        <v>693.97</v>
      </c>
      <c r="AZ24" s="4">
        <f t="shared" si="0"/>
        <v>0</v>
      </c>
    </row>
    <row r="25" spans="1:52" ht="12" customHeight="1">
      <c r="A25" s="11">
        <v>43585</v>
      </c>
      <c r="B25" s="12" t="s">
        <v>131</v>
      </c>
      <c r="C25" s="33" t="s">
        <v>132</v>
      </c>
      <c r="D25" s="20" t="s">
        <v>133</v>
      </c>
      <c r="E25" s="20" t="s">
        <v>134</v>
      </c>
      <c r="G25" s="21" t="s">
        <v>82</v>
      </c>
      <c r="H25" s="22">
        <v>764.4</v>
      </c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>
        <f>332.4+432</f>
        <v>764.4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8">
        <f t="shared" si="1"/>
        <v>764.4</v>
      </c>
      <c r="AZ25" s="4">
        <f t="shared" si="0"/>
        <v>0</v>
      </c>
    </row>
    <row r="26" spans="1:52" ht="12" customHeight="1">
      <c r="A26" s="11">
        <v>43585</v>
      </c>
      <c r="B26" s="3" t="s">
        <v>135</v>
      </c>
      <c r="C26" s="31"/>
      <c r="D26" s="34" t="s">
        <v>136</v>
      </c>
      <c r="E26" s="35" t="s">
        <v>137</v>
      </c>
      <c r="G26" s="21" t="s">
        <v>82</v>
      </c>
      <c r="H26" s="28">
        <v>55.36</v>
      </c>
      <c r="I26" s="2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>
        <v>21.5</v>
      </c>
      <c r="Z26" s="18"/>
      <c r="AA26" s="18"/>
      <c r="AB26" s="18"/>
      <c r="AC26" s="18"/>
      <c r="AD26" s="18"/>
      <c r="AE26" s="18"/>
      <c r="AF26" s="18">
        <v>33.86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8">
        <f t="shared" si="1"/>
        <v>55.36</v>
      </c>
      <c r="AZ26" s="4">
        <f t="shared" si="0"/>
        <v>0</v>
      </c>
    </row>
    <row r="27" spans="1:52">
      <c r="A27" s="11">
        <v>43585</v>
      </c>
      <c r="B27" s="3" t="s">
        <v>138</v>
      </c>
      <c r="C27" s="19"/>
      <c r="D27" s="36" t="s">
        <v>139</v>
      </c>
      <c r="E27" s="37" t="s">
        <v>140</v>
      </c>
      <c r="F27" s="6"/>
      <c r="G27" s="21" t="s">
        <v>82</v>
      </c>
      <c r="H27" s="28">
        <v>180</v>
      </c>
      <c r="I27" s="17">
        <v>30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>
        <v>150</v>
      </c>
      <c r="AU27" s="18"/>
      <c r="AV27" s="18"/>
      <c r="AW27" s="18"/>
      <c r="AX27" s="18"/>
      <c r="AY27" s="8">
        <f>SUM(I27:AX27)</f>
        <v>180</v>
      </c>
      <c r="AZ27" s="4">
        <f t="shared" si="0"/>
        <v>0</v>
      </c>
    </row>
    <row r="28" spans="1:52" s="41" customFormat="1">
      <c r="A28" s="38">
        <v>43585</v>
      </c>
      <c r="B28" s="3" t="s">
        <v>141</v>
      </c>
      <c r="C28" s="39"/>
      <c r="D28" s="40" t="s">
        <v>142</v>
      </c>
      <c r="E28" s="40" t="s">
        <v>143</v>
      </c>
      <c r="G28" s="42" t="s">
        <v>82</v>
      </c>
      <c r="H28" s="43">
        <v>210.62</v>
      </c>
      <c r="I28" s="44">
        <v>29.42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>
        <v>181.2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6">
        <f t="shared" si="1"/>
        <v>210.62</v>
      </c>
      <c r="AZ28" s="41">
        <f t="shared" si="0"/>
        <v>0</v>
      </c>
    </row>
    <row r="29" spans="1:52" s="51" customFormat="1">
      <c r="A29" s="47">
        <v>43586</v>
      </c>
      <c r="B29" s="48"/>
      <c r="C29" s="49" t="s">
        <v>79</v>
      </c>
      <c r="D29" s="50" t="s">
        <v>80</v>
      </c>
      <c r="E29" s="50" t="s">
        <v>81</v>
      </c>
      <c r="G29" s="52" t="s">
        <v>82</v>
      </c>
      <c r="H29" s="53">
        <v>1922.04</v>
      </c>
      <c r="I29" s="54"/>
      <c r="J29" s="55">
        <v>1922.04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6">
        <f t="shared" ref="AY29:AY35" si="2">SUM(I29:AX29)</f>
        <v>1922.04</v>
      </c>
      <c r="AZ29" s="51">
        <f t="shared" si="0"/>
        <v>0</v>
      </c>
    </row>
    <row r="30" spans="1:52">
      <c r="A30" s="11">
        <v>43588</v>
      </c>
      <c r="B30" s="12"/>
      <c r="C30" s="19" t="s">
        <v>83</v>
      </c>
      <c r="D30" s="20" t="s">
        <v>84</v>
      </c>
      <c r="E30" s="20" t="s">
        <v>85</v>
      </c>
      <c r="G30" s="21" t="s">
        <v>82</v>
      </c>
      <c r="H30" s="22">
        <v>7</v>
      </c>
      <c r="I30" s="17"/>
      <c r="J30" s="18"/>
      <c r="K30" s="18"/>
      <c r="L30" s="18"/>
      <c r="M30" s="18"/>
      <c r="N30" s="23"/>
      <c r="O30" s="18"/>
      <c r="P30" s="18"/>
      <c r="Q30" s="18">
        <v>7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8">
        <f t="shared" si="2"/>
        <v>7</v>
      </c>
      <c r="AZ30" s="4">
        <f t="shared" si="0"/>
        <v>0</v>
      </c>
    </row>
    <row r="31" spans="1:52">
      <c r="A31" s="11">
        <v>43593</v>
      </c>
      <c r="B31" s="12"/>
      <c r="C31" s="19" t="s">
        <v>83</v>
      </c>
      <c r="D31" s="24" t="s">
        <v>144</v>
      </c>
      <c r="E31" s="24" t="s">
        <v>145</v>
      </c>
      <c r="G31" s="21" t="s">
        <v>82</v>
      </c>
      <c r="H31" s="16">
        <v>156.21</v>
      </c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8"/>
      <c r="AI31" s="18">
        <v>156.21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8">
        <f>SUM(I31:AX31)</f>
        <v>156.21</v>
      </c>
      <c r="AZ31" s="4">
        <f>AY31-H31</f>
        <v>0</v>
      </c>
    </row>
    <row r="32" spans="1:52">
      <c r="A32" s="11">
        <v>43598</v>
      </c>
      <c r="B32" s="12"/>
      <c r="C32" s="19" t="s">
        <v>83</v>
      </c>
      <c r="D32" s="24" t="s">
        <v>86</v>
      </c>
      <c r="E32" s="24" t="s">
        <v>87</v>
      </c>
      <c r="G32" s="21" t="s">
        <v>82</v>
      </c>
      <c r="H32" s="25">
        <v>63.6</v>
      </c>
      <c r="I32" s="26">
        <v>10.6</v>
      </c>
      <c r="J32" s="18"/>
      <c r="K32" s="18"/>
      <c r="L32" s="18"/>
      <c r="M32" s="18"/>
      <c r="N32" s="18">
        <v>53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8">
        <f t="shared" si="2"/>
        <v>63.6</v>
      </c>
      <c r="AZ32" s="4">
        <f t="shared" si="0"/>
        <v>0</v>
      </c>
    </row>
    <row r="33" spans="1:52">
      <c r="A33" s="11">
        <v>43599</v>
      </c>
      <c r="B33" s="12" t="s">
        <v>146</v>
      </c>
      <c r="C33" s="19"/>
      <c r="D33" s="20" t="s">
        <v>117</v>
      </c>
      <c r="E33" s="20" t="s">
        <v>147</v>
      </c>
      <c r="G33" s="21" t="s">
        <v>82</v>
      </c>
      <c r="H33" s="22">
        <v>772.5</v>
      </c>
      <c r="I33" s="17"/>
      <c r="J33" s="18"/>
      <c r="K33" s="18"/>
      <c r="L33" s="18">
        <v>772.5</v>
      </c>
      <c r="M33" s="18"/>
      <c r="N33" s="2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8">
        <f t="shared" si="2"/>
        <v>772.5</v>
      </c>
      <c r="AZ33" s="4">
        <f>AY33-H33</f>
        <v>0</v>
      </c>
    </row>
    <row r="34" spans="1:52">
      <c r="A34" s="11">
        <v>43599</v>
      </c>
      <c r="B34" s="12" t="s">
        <v>146</v>
      </c>
      <c r="C34" s="19"/>
      <c r="D34" s="20" t="s">
        <v>117</v>
      </c>
      <c r="E34" s="20" t="s">
        <v>148</v>
      </c>
      <c r="G34" s="21" t="s">
        <v>82</v>
      </c>
      <c r="H34" s="22">
        <v>198.3</v>
      </c>
      <c r="I34" s="17"/>
      <c r="J34" s="18"/>
      <c r="K34" s="18"/>
      <c r="L34" s="18">
        <v>198.3</v>
      </c>
      <c r="M34" s="18"/>
      <c r="N34" s="2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8">
        <f t="shared" si="2"/>
        <v>198.3</v>
      </c>
      <c r="AZ34" s="4">
        <f>AY34-H34</f>
        <v>0</v>
      </c>
    </row>
    <row r="35" spans="1:52">
      <c r="A35" s="11">
        <v>43600</v>
      </c>
      <c r="B35" s="12"/>
      <c r="C35" s="19" t="s">
        <v>83</v>
      </c>
      <c r="D35" s="20" t="s">
        <v>88</v>
      </c>
      <c r="E35" s="27" t="s">
        <v>89</v>
      </c>
      <c r="G35" s="21" t="s">
        <v>82</v>
      </c>
      <c r="H35" s="28">
        <v>551.94000000000005</v>
      </c>
      <c r="I35" s="17">
        <v>91.99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>
        <v>459.95</v>
      </c>
      <c r="AU35" s="18"/>
      <c r="AV35" s="18"/>
      <c r="AW35" s="18"/>
      <c r="AX35" s="18"/>
      <c r="AY35" s="8">
        <f t="shared" si="2"/>
        <v>551.93999999999994</v>
      </c>
      <c r="AZ35" s="4">
        <f t="shared" si="0"/>
        <v>0</v>
      </c>
    </row>
    <row r="36" spans="1:52">
      <c r="A36" s="11">
        <v>43601</v>
      </c>
      <c r="B36" s="12"/>
      <c r="C36" s="19" t="s">
        <v>83</v>
      </c>
      <c r="D36" s="24" t="s">
        <v>144</v>
      </c>
      <c r="E36" s="24"/>
      <c r="G36" s="21" t="s">
        <v>82</v>
      </c>
      <c r="H36" s="16">
        <v>10.48</v>
      </c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>
        <v>10.48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8">
        <f t="shared" ref="AY36:AY41" si="3">SUM(I36:AX36)</f>
        <v>10.48</v>
      </c>
      <c r="AZ36" s="4">
        <f t="shared" si="0"/>
        <v>0</v>
      </c>
    </row>
    <row r="37" spans="1:52">
      <c r="A37" s="11">
        <v>43607</v>
      </c>
      <c r="B37" s="12" t="s">
        <v>149</v>
      </c>
      <c r="C37" s="19"/>
      <c r="D37" s="24" t="s">
        <v>95</v>
      </c>
      <c r="E37" s="24" t="s">
        <v>150</v>
      </c>
      <c r="G37" s="21" t="s">
        <v>82</v>
      </c>
      <c r="H37" s="16">
        <v>639.35</v>
      </c>
      <c r="I37" s="26"/>
      <c r="J37" s="18">
        <v>639.35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8">
        <f t="shared" si="3"/>
        <v>639.35</v>
      </c>
      <c r="AZ37" s="4">
        <f t="shared" si="0"/>
        <v>0</v>
      </c>
    </row>
    <row r="38" spans="1:52">
      <c r="A38" s="11">
        <v>43607</v>
      </c>
      <c r="B38" s="12" t="s">
        <v>151</v>
      </c>
      <c r="C38" s="19"/>
      <c r="D38" s="24" t="s">
        <v>97</v>
      </c>
      <c r="E38" s="24" t="s">
        <v>152</v>
      </c>
      <c r="G38" s="21" t="s">
        <v>82</v>
      </c>
      <c r="H38" s="16">
        <v>67.5</v>
      </c>
      <c r="I38" s="26"/>
      <c r="J38" s="18"/>
      <c r="K38" s="18"/>
      <c r="L38" s="18"/>
      <c r="M38" s="18"/>
      <c r="N38" s="23"/>
      <c r="O38" s="18"/>
      <c r="P38" s="18"/>
      <c r="Q38" s="18"/>
      <c r="R38" s="18"/>
      <c r="S38" s="18">
        <v>67.5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8">
        <f t="shared" si="3"/>
        <v>67.5</v>
      </c>
      <c r="AZ38" s="4">
        <f t="shared" si="0"/>
        <v>0</v>
      </c>
    </row>
    <row r="39" spans="1:52" ht="12" customHeight="1">
      <c r="A39" s="11">
        <v>43607</v>
      </c>
      <c r="B39" s="12" t="s">
        <v>153</v>
      </c>
      <c r="C39" s="31"/>
      <c r="D39" s="24" t="s">
        <v>103</v>
      </c>
      <c r="E39" s="24" t="s">
        <v>154</v>
      </c>
      <c r="G39" s="21" t="s">
        <v>82</v>
      </c>
      <c r="H39" s="16">
        <v>673.99</v>
      </c>
      <c r="I39" s="26">
        <v>112.33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192.78</v>
      </c>
      <c r="AB39" s="18">
        <f>23.51+23.51</f>
        <v>47.02</v>
      </c>
      <c r="AC39" s="18">
        <f>23.51+108.14</f>
        <v>131.65</v>
      </c>
      <c r="AD39" s="18">
        <v>147.16</v>
      </c>
      <c r="AE39" s="18">
        <v>43.05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8">
        <f t="shared" si="3"/>
        <v>673.9899999999999</v>
      </c>
      <c r="AZ39" s="4">
        <f t="shared" si="0"/>
        <v>0</v>
      </c>
    </row>
    <row r="40" spans="1:52">
      <c r="A40" s="11">
        <v>43607</v>
      </c>
      <c r="C40" s="31"/>
      <c r="D40" s="24" t="s">
        <v>80</v>
      </c>
      <c r="E40" s="24" t="s">
        <v>108</v>
      </c>
      <c r="G40" s="21" t="s">
        <v>82</v>
      </c>
      <c r="H40" s="16">
        <v>45.63</v>
      </c>
      <c r="I40" s="26"/>
      <c r="J40" s="18">
        <v>45.63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8">
        <f t="shared" si="3"/>
        <v>45.63</v>
      </c>
      <c r="AZ40" s="4">
        <f t="shared" si="0"/>
        <v>0</v>
      </c>
    </row>
    <row r="41" spans="1:52">
      <c r="A41" s="11">
        <v>43607</v>
      </c>
      <c r="B41" s="12" t="s">
        <v>155</v>
      </c>
      <c r="C41" s="19"/>
      <c r="D41" s="24" t="s">
        <v>80</v>
      </c>
      <c r="E41" s="24" t="s">
        <v>156</v>
      </c>
      <c r="G41" s="21" t="s">
        <v>82</v>
      </c>
      <c r="H41" s="16">
        <v>113.76</v>
      </c>
      <c r="I41" s="17">
        <v>4.18</v>
      </c>
      <c r="J41" s="18"/>
      <c r="K41" s="18"/>
      <c r="L41" s="18"/>
      <c r="M41" s="18">
        <f>57.15+3.6+3.6+3.6+5.4+3.15</f>
        <v>76.5</v>
      </c>
      <c r="N41" s="18"/>
      <c r="O41" s="18">
        <f>20.9+12.18</f>
        <v>33.08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8">
        <f t="shared" si="3"/>
        <v>113.76</v>
      </c>
      <c r="AZ41" s="4">
        <f t="shared" si="0"/>
        <v>0</v>
      </c>
    </row>
    <row r="42" spans="1:52">
      <c r="A42" s="11">
        <v>43607</v>
      </c>
      <c r="B42" s="12" t="s">
        <v>157</v>
      </c>
      <c r="C42" s="19"/>
      <c r="D42" s="20" t="s">
        <v>95</v>
      </c>
      <c r="E42" s="27" t="s">
        <v>156</v>
      </c>
      <c r="G42" s="21" t="s">
        <v>82</v>
      </c>
      <c r="H42" s="28">
        <v>12</v>
      </c>
      <c r="I42" s="17"/>
      <c r="J42" s="18"/>
      <c r="K42" s="18"/>
      <c r="L42" s="18"/>
      <c r="M42" s="18">
        <v>6.3</v>
      </c>
      <c r="N42" s="18"/>
      <c r="O42" s="18"/>
      <c r="P42" s="18"/>
      <c r="Q42" s="18"/>
      <c r="R42" s="18">
        <v>5.7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8">
        <f t="shared" si="1"/>
        <v>12</v>
      </c>
      <c r="AZ42" s="4">
        <f t="shared" si="0"/>
        <v>0</v>
      </c>
    </row>
    <row r="43" spans="1:52">
      <c r="A43" s="11">
        <v>43607</v>
      </c>
      <c r="B43" s="12" t="s">
        <v>158</v>
      </c>
      <c r="C43" s="19"/>
      <c r="D43" s="24" t="s">
        <v>114</v>
      </c>
      <c r="E43" s="24" t="s">
        <v>159</v>
      </c>
      <c r="G43" s="21" t="s">
        <v>82</v>
      </c>
      <c r="H43" s="16">
        <v>53.99</v>
      </c>
      <c r="I43" s="2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>
        <v>53.99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8">
        <f t="shared" si="1"/>
        <v>53.99</v>
      </c>
      <c r="AZ43" s="4">
        <f t="shared" si="0"/>
        <v>0</v>
      </c>
    </row>
    <row r="44" spans="1:52">
      <c r="A44" s="11">
        <v>43607</v>
      </c>
      <c r="B44" s="12" t="s">
        <v>160</v>
      </c>
      <c r="C44" s="19"/>
      <c r="D44" s="24" t="s">
        <v>161</v>
      </c>
      <c r="E44" s="24" t="s">
        <v>162</v>
      </c>
      <c r="G44" s="21" t="s">
        <v>82</v>
      </c>
      <c r="H44" s="16">
        <v>47.06</v>
      </c>
      <c r="I44" s="26">
        <v>7.84</v>
      </c>
      <c r="J44" s="18"/>
      <c r="K44" s="18"/>
      <c r="L44" s="18"/>
      <c r="M44" s="18"/>
      <c r="N44" s="18"/>
      <c r="O44" s="18"/>
      <c r="P44" s="18"/>
      <c r="Q44" s="18"/>
      <c r="R44" s="18">
        <f>37.98+1.24</f>
        <v>39.22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8">
        <f t="shared" si="1"/>
        <v>47.06</v>
      </c>
      <c r="AZ44" s="4">
        <f t="shared" si="0"/>
        <v>0</v>
      </c>
    </row>
    <row r="45" spans="1:52">
      <c r="A45" s="11">
        <v>43607</v>
      </c>
      <c r="B45" s="12" t="s">
        <v>163</v>
      </c>
      <c r="C45" s="19"/>
      <c r="D45" s="24" t="s">
        <v>126</v>
      </c>
      <c r="E45" s="24" t="s">
        <v>164</v>
      </c>
      <c r="G45" s="21" t="s">
        <v>82</v>
      </c>
      <c r="H45" s="16">
        <v>1104.72</v>
      </c>
      <c r="I45" s="26">
        <v>184.12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>
        <v>920.6</v>
      </c>
      <c r="AW45" s="18"/>
      <c r="AX45" s="18"/>
      <c r="AY45" s="8">
        <f t="shared" si="1"/>
        <v>1104.72</v>
      </c>
      <c r="AZ45" s="4">
        <f t="shared" si="0"/>
        <v>0</v>
      </c>
    </row>
    <row r="46" spans="1:52">
      <c r="A46" s="11">
        <v>43613</v>
      </c>
      <c r="B46" s="12"/>
      <c r="C46" s="19" t="s">
        <v>83</v>
      </c>
      <c r="D46" s="24" t="s">
        <v>90</v>
      </c>
      <c r="E46" s="24"/>
      <c r="G46" s="21" t="s">
        <v>82</v>
      </c>
      <c r="H46" s="16">
        <v>179.84</v>
      </c>
      <c r="I46" s="17"/>
      <c r="J46" s="18"/>
      <c r="K46" s="18"/>
      <c r="L46" s="18"/>
      <c r="M46" s="18"/>
      <c r="N46" s="18"/>
      <c r="O46" s="18"/>
      <c r="P46" s="18"/>
      <c r="Q46" s="18"/>
      <c r="R46" s="18">
        <f>5.95+5+4+69.99+2.2+6.9+60.8</f>
        <v>154.84</v>
      </c>
      <c r="S46" s="18"/>
      <c r="T46" s="18"/>
      <c r="U46" s="18"/>
      <c r="V46" s="18"/>
      <c r="W46" s="18">
        <v>25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8">
        <f t="shared" si="1"/>
        <v>179.84</v>
      </c>
      <c r="AZ46" s="4">
        <f t="shared" si="0"/>
        <v>0</v>
      </c>
    </row>
    <row r="47" spans="1:52">
      <c r="A47" s="11">
        <v>43616</v>
      </c>
      <c r="B47" s="12" t="s">
        <v>165</v>
      </c>
      <c r="C47" s="19"/>
      <c r="D47" s="24" t="s">
        <v>46</v>
      </c>
      <c r="E47" s="24" t="s">
        <v>166</v>
      </c>
      <c r="G47" s="21" t="s">
        <v>82</v>
      </c>
      <c r="H47" s="16">
        <v>791.35</v>
      </c>
      <c r="I47" s="17"/>
      <c r="J47" s="18"/>
      <c r="K47" s="18">
        <v>791.35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8">
        <f t="shared" si="1"/>
        <v>791.35</v>
      </c>
      <c r="AZ47" s="4">
        <f t="shared" si="0"/>
        <v>0</v>
      </c>
    </row>
    <row r="48" spans="1:52" s="59" customFormat="1">
      <c r="A48" s="38">
        <v>43616</v>
      </c>
      <c r="B48" s="57"/>
      <c r="C48" s="58" t="s">
        <v>83</v>
      </c>
      <c r="D48" s="40" t="s">
        <v>84</v>
      </c>
      <c r="E48" s="40" t="s">
        <v>85</v>
      </c>
      <c r="G48" s="42" t="s">
        <v>82</v>
      </c>
      <c r="H48" s="43">
        <v>7</v>
      </c>
      <c r="I48" s="44"/>
      <c r="J48" s="45"/>
      <c r="K48" s="45"/>
      <c r="L48" s="45"/>
      <c r="M48" s="45"/>
      <c r="N48" s="45"/>
      <c r="O48" s="45"/>
      <c r="P48" s="45"/>
      <c r="Q48" s="45">
        <v>7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>
        <f t="shared" si="1"/>
        <v>7</v>
      </c>
      <c r="AZ48" s="59">
        <f t="shared" si="0"/>
        <v>0</v>
      </c>
    </row>
    <row r="49" spans="1:52" s="51" customFormat="1">
      <c r="A49" s="47">
        <v>43617</v>
      </c>
      <c r="B49" s="60"/>
      <c r="C49" s="60" t="s">
        <v>79</v>
      </c>
      <c r="D49" s="61" t="s">
        <v>80</v>
      </c>
      <c r="E49" s="61" t="s">
        <v>167</v>
      </c>
      <c r="G49" s="62" t="s">
        <v>82</v>
      </c>
      <c r="H49" s="63">
        <v>1967.67</v>
      </c>
      <c r="I49" s="54"/>
      <c r="J49" s="55">
        <v>1967.67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6">
        <f t="shared" si="1"/>
        <v>1967.67</v>
      </c>
      <c r="AZ49" s="51">
        <f t="shared" si="0"/>
        <v>0</v>
      </c>
    </row>
    <row r="50" spans="1:52">
      <c r="A50" s="11">
        <v>43627</v>
      </c>
      <c r="B50" s="12"/>
      <c r="C50" s="19" t="s">
        <v>83</v>
      </c>
      <c r="D50" s="24" t="s">
        <v>86</v>
      </c>
      <c r="E50" s="24" t="s">
        <v>168</v>
      </c>
      <c r="G50" s="21" t="s">
        <v>82</v>
      </c>
      <c r="H50" s="25">
        <v>63.6</v>
      </c>
      <c r="I50" s="26">
        <v>10.6</v>
      </c>
      <c r="J50" s="18"/>
      <c r="K50" s="18"/>
      <c r="L50" s="18"/>
      <c r="M50" s="18"/>
      <c r="N50" s="18">
        <v>53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8">
        <f t="shared" si="1"/>
        <v>63.6</v>
      </c>
      <c r="AZ50" s="4">
        <f t="shared" si="0"/>
        <v>0</v>
      </c>
    </row>
    <row r="51" spans="1:52">
      <c r="A51" s="11">
        <v>43627</v>
      </c>
      <c r="B51" s="12" t="s">
        <v>169</v>
      </c>
      <c r="C51" s="19"/>
      <c r="D51" s="24" t="s">
        <v>100</v>
      </c>
      <c r="E51" s="24" t="s">
        <v>170</v>
      </c>
      <c r="G51" s="21" t="s">
        <v>82</v>
      </c>
      <c r="H51" s="16">
        <v>61.67</v>
      </c>
      <c r="I51" s="17"/>
      <c r="J51" s="18"/>
      <c r="K51" s="18"/>
      <c r="L51" s="18"/>
      <c r="M51" s="18"/>
      <c r="N51" s="18"/>
      <c r="O51" s="18"/>
      <c r="P51" s="18"/>
      <c r="Q51" s="18"/>
      <c r="R51" s="18">
        <v>41.67</v>
      </c>
      <c r="S51" s="18">
        <v>20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8">
        <f t="shared" si="1"/>
        <v>61.67</v>
      </c>
      <c r="AZ51" s="4">
        <f t="shared" si="0"/>
        <v>0</v>
      </c>
    </row>
    <row r="52" spans="1:52">
      <c r="A52" s="11">
        <v>43628</v>
      </c>
      <c r="B52" s="12" t="s">
        <v>171</v>
      </c>
      <c r="C52" s="19"/>
      <c r="D52" s="20" t="s">
        <v>117</v>
      </c>
      <c r="E52" s="20" t="s">
        <v>147</v>
      </c>
      <c r="G52" s="21" t="s">
        <v>82</v>
      </c>
      <c r="H52" s="22">
        <v>772.5</v>
      </c>
      <c r="I52" s="17"/>
      <c r="J52" s="18"/>
      <c r="K52" s="18"/>
      <c r="L52" s="18">
        <v>772.5</v>
      </c>
      <c r="M52" s="18"/>
      <c r="N52" s="2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8">
        <f t="shared" si="1"/>
        <v>772.5</v>
      </c>
      <c r="AZ52" s="4">
        <f t="shared" si="0"/>
        <v>0</v>
      </c>
    </row>
    <row r="53" spans="1:52">
      <c r="A53" s="11">
        <v>43628</v>
      </c>
      <c r="B53" s="12" t="s">
        <v>171</v>
      </c>
      <c r="C53" s="19"/>
      <c r="D53" s="20" t="s">
        <v>117</v>
      </c>
      <c r="E53" s="20" t="s">
        <v>148</v>
      </c>
      <c r="G53" s="21" t="s">
        <v>82</v>
      </c>
      <c r="H53" s="22">
        <v>198.3</v>
      </c>
      <c r="I53" s="17"/>
      <c r="J53" s="18"/>
      <c r="K53" s="18"/>
      <c r="L53" s="18">
        <v>198.3</v>
      </c>
      <c r="M53" s="18"/>
      <c r="N53" s="2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8">
        <f t="shared" si="1"/>
        <v>198.3</v>
      </c>
      <c r="AZ53" s="4">
        <f t="shared" si="0"/>
        <v>0</v>
      </c>
    </row>
    <row r="54" spans="1:52">
      <c r="A54" s="11">
        <v>43629</v>
      </c>
      <c r="B54" s="12" t="s">
        <v>172</v>
      </c>
      <c r="C54" s="19"/>
      <c r="D54" s="24" t="s">
        <v>106</v>
      </c>
      <c r="E54" s="24" t="s">
        <v>173</v>
      </c>
      <c r="G54" s="21" t="s">
        <v>82</v>
      </c>
      <c r="H54" s="16">
        <v>446</v>
      </c>
      <c r="I54" s="26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v>446</v>
      </c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8">
        <f t="shared" si="1"/>
        <v>446</v>
      </c>
      <c r="AZ54" s="4">
        <f t="shared" si="0"/>
        <v>0</v>
      </c>
    </row>
    <row r="55" spans="1:52">
      <c r="A55" s="11">
        <v>43633</v>
      </c>
      <c r="B55" s="12"/>
      <c r="C55" s="19" t="s">
        <v>83</v>
      </c>
      <c r="D55" s="20" t="s">
        <v>88</v>
      </c>
      <c r="E55" s="27" t="s">
        <v>174</v>
      </c>
      <c r="G55" s="21" t="s">
        <v>82</v>
      </c>
      <c r="H55" s="28">
        <v>570.34</v>
      </c>
      <c r="I55" s="17">
        <v>95.06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>
        <v>475.28</v>
      </c>
      <c r="AU55" s="18"/>
      <c r="AV55" s="18"/>
      <c r="AW55" s="18"/>
      <c r="AX55" s="18"/>
      <c r="AY55" s="8">
        <f t="shared" si="1"/>
        <v>570.33999999999992</v>
      </c>
      <c r="AZ55" s="4">
        <f t="shared" si="0"/>
        <v>0</v>
      </c>
    </row>
    <row r="56" spans="1:52">
      <c r="A56" s="11">
        <v>43640</v>
      </c>
      <c r="B56" s="12"/>
      <c r="C56" s="19" t="s">
        <v>83</v>
      </c>
      <c r="D56" s="20" t="s">
        <v>175</v>
      </c>
      <c r="E56" s="20"/>
      <c r="G56" s="21" t="s">
        <v>82</v>
      </c>
      <c r="H56" s="22">
        <v>46.51</v>
      </c>
      <c r="I56" s="17">
        <v>6.42</v>
      </c>
      <c r="J56" s="18"/>
      <c r="K56" s="18"/>
      <c r="L56" s="18"/>
      <c r="M56" s="18"/>
      <c r="N56" s="18"/>
      <c r="O56" s="18"/>
      <c r="P56" s="18"/>
      <c r="Q56" s="18"/>
      <c r="R56" s="18">
        <f>5.98+5.5+10.83+9.79+7.99</f>
        <v>40.090000000000003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8">
        <f t="shared" si="1"/>
        <v>46.510000000000005</v>
      </c>
      <c r="AZ56" s="4">
        <f t="shared" si="0"/>
        <v>0</v>
      </c>
    </row>
    <row r="57" spans="1:52">
      <c r="A57" s="11">
        <v>43641</v>
      </c>
      <c r="B57" s="12" t="s">
        <v>176</v>
      </c>
      <c r="C57" s="19"/>
      <c r="D57" s="24" t="s">
        <v>95</v>
      </c>
      <c r="E57" s="24" t="s">
        <v>177</v>
      </c>
      <c r="G57" s="21" t="s">
        <v>82</v>
      </c>
      <c r="H57" s="16">
        <v>639.35</v>
      </c>
      <c r="I57" s="17"/>
      <c r="J57" s="18">
        <v>639.35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8">
        <f t="shared" si="1"/>
        <v>639.35</v>
      </c>
      <c r="AZ57" s="4">
        <f t="shared" si="0"/>
        <v>0</v>
      </c>
    </row>
    <row r="58" spans="1:52">
      <c r="A58" s="11">
        <v>43641</v>
      </c>
      <c r="B58" s="12" t="s">
        <v>178</v>
      </c>
      <c r="C58" s="19"/>
      <c r="D58" s="20" t="s">
        <v>97</v>
      </c>
      <c r="E58" s="20" t="s">
        <v>179</v>
      </c>
      <c r="G58" s="21" t="s">
        <v>82</v>
      </c>
      <c r="H58" s="16">
        <v>67.5</v>
      </c>
      <c r="I58" s="26"/>
      <c r="J58" s="18"/>
      <c r="K58" s="18"/>
      <c r="L58" s="18"/>
      <c r="M58" s="18"/>
      <c r="N58" s="18"/>
      <c r="O58" s="18"/>
      <c r="P58" s="18"/>
      <c r="Q58" s="18"/>
      <c r="R58" s="18"/>
      <c r="S58" s="18">
        <v>67.5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8">
        <f t="shared" si="1"/>
        <v>67.5</v>
      </c>
      <c r="AZ58" s="4">
        <f t="shared" si="0"/>
        <v>0</v>
      </c>
    </row>
    <row r="59" spans="1:52">
      <c r="A59" s="11">
        <v>43641</v>
      </c>
      <c r="B59" s="12" t="s">
        <v>180</v>
      </c>
      <c r="C59" s="19"/>
      <c r="D59" s="24" t="s">
        <v>100</v>
      </c>
      <c r="E59" s="24" t="s">
        <v>181</v>
      </c>
      <c r="G59" s="21" t="s">
        <v>82</v>
      </c>
      <c r="H59" s="16">
        <v>41.67</v>
      </c>
      <c r="I59" s="26"/>
      <c r="J59" s="18"/>
      <c r="K59" s="18"/>
      <c r="L59" s="18"/>
      <c r="M59" s="18"/>
      <c r="N59" s="18"/>
      <c r="O59" s="18"/>
      <c r="P59" s="18"/>
      <c r="Q59" s="18"/>
      <c r="R59" s="18"/>
      <c r="S59" s="18">
        <v>41.67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8">
        <f t="shared" si="1"/>
        <v>41.67</v>
      </c>
      <c r="AZ59" s="4">
        <f t="shared" si="0"/>
        <v>0</v>
      </c>
    </row>
    <row r="60" spans="1:52">
      <c r="A60" s="11">
        <v>43641</v>
      </c>
      <c r="B60" s="12" t="s">
        <v>182</v>
      </c>
      <c r="C60" s="19"/>
      <c r="D60" s="24" t="s">
        <v>103</v>
      </c>
      <c r="E60" s="24" t="s">
        <v>183</v>
      </c>
      <c r="G60" s="21" t="s">
        <v>82</v>
      </c>
      <c r="H60" s="16">
        <v>673.99</v>
      </c>
      <c r="I60" s="26">
        <v>112.33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>
        <v>192.78</v>
      </c>
      <c r="AB60" s="18">
        <f>23.51+23.51</f>
        <v>47.02</v>
      </c>
      <c r="AC60" s="18">
        <f>23.51+108.14</f>
        <v>131.65</v>
      </c>
      <c r="AD60" s="18">
        <v>147.16</v>
      </c>
      <c r="AE60" s="18">
        <v>43.05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8">
        <f t="shared" si="1"/>
        <v>673.9899999999999</v>
      </c>
      <c r="AZ60" s="4">
        <f t="shared" si="0"/>
        <v>0</v>
      </c>
    </row>
    <row r="61" spans="1:52">
      <c r="A61" s="11">
        <v>43641</v>
      </c>
      <c r="B61" s="12" t="s">
        <v>184</v>
      </c>
      <c r="C61" s="19"/>
      <c r="D61" s="24" t="s">
        <v>106</v>
      </c>
      <c r="E61" s="24" t="s">
        <v>185</v>
      </c>
      <c r="G61" s="21" t="s">
        <v>82</v>
      </c>
      <c r="H61" s="16">
        <v>441</v>
      </c>
      <c r="I61" s="26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441</v>
      </c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8">
        <f t="shared" si="1"/>
        <v>441</v>
      </c>
      <c r="AZ61" s="4">
        <f t="shared" si="0"/>
        <v>0</v>
      </c>
    </row>
    <row r="62" spans="1:52">
      <c r="A62" s="11">
        <v>43641</v>
      </c>
      <c r="B62" s="12" t="s">
        <v>186</v>
      </c>
      <c r="C62" s="19"/>
      <c r="D62" s="24" t="s">
        <v>80</v>
      </c>
      <c r="E62" s="24" t="s">
        <v>187</v>
      </c>
      <c r="G62" s="21" t="s">
        <v>82</v>
      </c>
      <c r="H62" s="16">
        <v>73.08</v>
      </c>
      <c r="I62" s="26">
        <v>5.5</v>
      </c>
      <c r="J62" s="18"/>
      <c r="K62" s="18"/>
      <c r="L62" s="18"/>
      <c r="M62" s="18">
        <v>27.9</v>
      </c>
      <c r="N62" s="18">
        <v>39.68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8">
        <f t="shared" si="1"/>
        <v>73.08</v>
      </c>
      <c r="AZ62" s="4">
        <f t="shared" si="0"/>
        <v>0</v>
      </c>
    </row>
    <row r="63" spans="1:52">
      <c r="A63" s="11">
        <v>43641</v>
      </c>
      <c r="B63" s="12" t="s">
        <v>188</v>
      </c>
      <c r="C63" s="19"/>
      <c r="D63" s="24" t="s">
        <v>95</v>
      </c>
      <c r="E63" s="24" t="s">
        <v>187</v>
      </c>
      <c r="G63" s="21" t="s">
        <v>82</v>
      </c>
      <c r="H63" s="16">
        <v>48.24</v>
      </c>
      <c r="I63" s="26"/>
      <c r="J63" s="18"/>
      <c r="K63" s="18"/>
      <c r="L63" s="18"/>
      <c r="M63" s="18">
        <v>12.6</v>
      </c>
      <c r="N63" s="18"/>
      <c r="O63" s="18"/>
      <c r="P63" s="18"/>
      <c r="Q63" s="18"/>
      <c r="R63" s="18">
        <v>35.64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8">
        <f t="shared" si="1"/>
        <v>48.24</v>
      </c>
      <c r="AZ63" s="4">
        <f t="shared" si="0"/>
        <v>0</v>
      </c>
    </row>
    <row r="64" spans="1:52">
      <c r="A64" s="11">
        <v>43641</v>
      </c>
      <c r="B64" s="12" t="s">
        <v>189</v>
      </c>
      <c r="C64" s="64" t="s">
        <v>190</v>
      </c>
      <c r="D64" s="24" t="s">
        <v>161</v>
      </c>
      <c r="E64" s="24" t="s">
        <v>191</v>
      </c>
      <c r="G64" s="21" t="s">
        <v>82</v>
      </c>
      <c r="H64" s="16">
        <v>99.49</v>
      </c>
      <c r="I64" s="26">
        <v>16.579999999999998</v>
      </c>
      <c r="J64" s="18"/>
      <c r="K64" s="18"/>
      <c r="L64" s="18"/>
      <c r="M64" s="18"/>
      <c r="N64" s="18"/>
      <c r="O64" s="18"/>
      <c r="P64" s="18"/>
      <c r="Q64" s="18"/>
      <c r="R64" s="18">
        <v>82.91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8">
        <f t="shared" si="1"/>
        <v>99.49</v>
      </c>
      <c r="AZ64" s="4">
        <f t="shared" si="0"/>
        <v>0</v>
      </c>
    </row>
    <row r="65" spans="1:52">
      <c r="A65" s="11">
        <v>43641</v>
      </c>
      <c r="B65" s="12" t="s">
        <v>192</v>
      </c>
      <c r="C65" s="31"/>
      <c r="D65" s="24" t="s">
        <v>193</v>
      </c>
      <c r="E65" s="24" t="s">
        <v>194</v>
      </c>
      <c r="G65" s="21" t="s">
        <v>82</v>
      </c>
      <c r="H65" s="16">
        <v>192</v>
      </c>
      <c r="I65" s="26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>
        <v>192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8">
        <f t="shared" si="1"/>
        <v>192</v>
      </c>
      <c r="AZ65" s="4">
        <f t="shared" si="0"/>
        <v>0</v>
      </c>
    </row>
    <row r="66" spans="1:52">
      <c r="A66" s="11">
        <v>43641</v>
      </c>
      <c r="B66" s="12" t="s">
        <v>195</v>
      </c>
      <c r="C66" s="19"/>
      <c r="D66" s="20" t="s">
        <v>196</v>
      </c>
      <c r="E66" s="20" t="s">
        <v>197</v>
      </c>
      <c r="G66" s="21" t="s">
        <v>82</v>
      </c>
      <c r="H66" s="22">
        <v>40</v>
      </c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>
        <v>40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8">
        <f t="shared" si="1"/>
        <v>40</v>
      </c>
      <c r="AZ66" s="4">
        <f t="shared" si="0"/>
        <v>0</v>
      </c>
    </row>
    <row r="67" spans="1:52">
      <c r="A67" s="11">
        <v>43641</v>
      </c>
      <c r="B67" s="12" t="s">
        <v>198</v>
      </c>
      <c r="C67" s="19"/>
      <c r="D67" s="36" t="s">
        <v>199</v>
      </c>
      <c r="E67" s="35" t="s">
        <v>200</v>
      </c>
      <c r="G67" s="21" t="s">
        <v>82</v>
      </c>
      <c r="H67" s="28">
        <v>11.19</v>
      </c>
      <c r="I67" s="26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>
        <v>11.19</v>
      </c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8">
        <f t="shared" si="1"/>
        <v>11.19</v>
      </c>
      <c r="AZ67" s="4">
        <f t="shared" si="0"/>
        <v>0</v>
      </c>
    </row>
    <row r="68" spans="1:52">
      <c r="A68" s="11">
        <v>43641</v>
      </c>
      <c r="B68" s="12" t="s">
        <v>201</v>
      </c>
      <c r="C68" s="65" t="s">
        <v>202</v>
      </c>
      <c r="D68" s="36" t="s">
        <v>203</v>
      </c>
      <c r="E68" s="36" t="s">
        <v>204</v>
      </c>
      <c r="G68" s="21" t="s">
        <v>82</v>
      </c>
      <c r="H68" s="66">
        <v>168</v>
      </c>
      <c r="I68" s="24">
        <v>28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>
        <v>140</v>
      </c>
      <c r="AU68" s="18"/>
      <c r="AV68" s="18"/>
      <c r="AW68" s="18"/>
      <c r="AX68" s="18"/>
      <c r="AY68" s="8">
        <f t="shared" si="1"/>
        <v>168</v>
      </c>
      <c r="AZ68" s="4">
        <f t="shared" si="0"/>
        <v>0</v>
      </c>
    </row>
    <row r="69" spans="1:52">
      <c r="A69" s="11">
        <v>43641</v>
      </c>
      <c r="B69" s="12" t="s">
        <v>205</v>
      </c>
      <c r="C69" s="67"/>
      <c r="D69" s="36" t="s">
        <v>206</v>
      </c>
      <c r="E69" s="36" t="s">
        <v>207</v>
      </c>
      <c r="F69" s="6"/>
      <c r="G69" s="21" t="s">
        <v>82</v>
      </c>
      <c r="H69" s="66">
        <v>13.95</v>
      </c>
      <c r="I69" s="24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>
        <v>13.95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8">
        <f t="shared" si="1"/>
        <v>13.95</v>
      </c>
      <c r="AZ69" s="4">
        <f t="shared" ref="AZ69:AZ132" si="4">AY69-H69</f>
        <v>0</v>
      </c>
    </row>
    <row r="70" spans="1:52">
      <c r="A70" s="11">
        <v>43643</v>
      </c>
      <c r="B70" s="12" t="s">
        <v>208</v>
      </c>
      <c r="C70" s="67"/>
      <c r="D70" s="36" t="s">
        <v>209</v>
      </c>
      <c r="E70" s="36" t="s">
        <v>210</v>
      </c>
      <c r="F70" s="6"/>
      <c r="G70" s="21" t="s">
        <v>82</v>
      </c>
      <c r="H70" s="66">
        <v>10000</v>
      </c>
      <c r="I70" s="24">
        <v>2085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>
        <v>7915</v>
      </c>
      <c r="AY70" s="8">
        <f t="shared" ref="AY70:AY133" si="5">SUM(I70:AX70)</f>
        <v>10000</v>
      </c>
      <c r="AZ70" s="4">
        <f t="shared" si="4"/>
        <v>0</v>
      </c>
    </row>
    <row r="71" spans="1:52">
      <c r="A71" s="11">
        <v>43644</v>
      </c>
      <c r="B71" s="12" t="s">
        <v>208</v>
      </c>
      <c r="C71" s="67"/>
      <c r="D71" s="36" t="s">
        <v>209</v>
      </c>
      <c r="E71" s="36" t="s">
        <v>210</v>
      </c>
      <c r="F71" s="6"/>
      <c r="G71" s="21" t="s">
        <v>82</v>
      </c>
      <c r="H71" s="66">
        <v>2510</v>
      </c>
      <c r="I71" s="24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>
        <v>2510</v>
      </c>
      <c r="AY71" s="8">
        <f t="shared" si="5"/>
        <v>2510</v>
      </c>
      <c r="AZ71" s="4">
        <f t="shared" si="4"/>
        <v>0</v>
      </c>
    </row>
    <row r="72" spans="1:52">
      <c r="A72" s="11">
        <v>43644</v>
      </c>
      <c r="B72" s="19" t="s">
        <v>211</v>
      </c>
      <c r="C72" s="31"/>
      <c r="D72" s="20" t="s">
        <v>46</v>
      </c>
      <c r="E72" s="20" t="s">
        <v>212</v>
      </c>
      <c r="G72" s="21" t="s">
        <v>82</v>
      </c>
      <c r="H72" s="22">
        <v>791.35</v>
      </c>
      <c r="I72" s="17"/>
      <c r="J72" s="18"/>
      <c r="K72" s="18">
        <v>791.35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8">
        <f t="shared" si="5"/>
        <v>791.35</v>
      </c>
      <c r="AZ72" s="4">
        <f t="shared" si="4"/>
        <v>0</v>
      </c>
    </row>
    <row r="73" spans="1:52">
      <c r="A73" s="11">
        <v>43644</v>
      </c>
      <c r="B73" s="68" t="s">
        <v>213</v>
      </c>
      <c r="C73" s="19"/>
      <c r="D73" s="20" t="s">
        <v>117</v>
      </c>
      <c r="E73" s="20" t="s">
        <v>147</v>
      </c>
      <c r="G73" s="21" t="s">
        <v>82</v>
      </c>
      <c r="H73" s="22">
        <v>772.5</v>
      </c>
      <c r="I73" s="24"/>
      <c r="J73" s="18"/>
      <c r="K73" s="18"/>
      <c r="L73" s="18">
        <v>772.5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8">
        <f t="shared" si="5"/>
        <v>772.5</v>
      </c>
      <c r="AZ73" s="4">
        <f t="shared" si="4"/>
        <v>0</v>
      </c>
    </row>
    <row r="74" spans="1:52">
      <c r="A74" s="11">
        <v>43644</v>
      </c>
      <c r="B74" s="12" t="s">
        <v>213</v>
      </c>
      <c r="C74" s="19"/>
      <c r="D74" s="20" t="s">
        <v>117</v>
      </c>
      <c r="E74" s="20" t="s">
        <v>148</v>
      </c>
      <c r="G74" s="21" t="s">
        <v>82</v>
      </c>
      <c r="H74" s="22">
        <v>198.3</v>
      </c>
      <c r="I74" s="26"/>
      <c r="J74" s="18"/>
      <c r="K74" s="18"/>
      <c r="L74" s="18">
        <v>198.3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8">
        <f t="shared" si="5"/>
        <v>198.3</v>
      </c>
      <c r="AZ74" s="4">
        <f t="shared" si="4"/>
        <v>0</v>
      </c>
    </row>
    <row r="75" spans="1:52" s="51" customFormat="1">
      <c r="A75" s="47">
        <v>43647</v>
      </c>
      <c r="B75" s="60"/>
      <c r="C75" s="60" t="s">
        <v>79</v>
      </c>
      <c r="D75" s="61" t="s">
        <v>80</v>
      </c>
      <c r="E75" s="61" t="s">
        <v>167</v>
      </c>
      <c r="G75" s="62" t="s">
        <v>82</v>
      </c>
      <c r="H75" s="63">
        <v>1967.67</v>
      </c>
      <c r="I75" s="54"/>
      <c r="J75" s="55">
        <v>1967.67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6">
        <f t="shared" si="5"/>
        <v>1967.67</v>
      </c>
      <c r="AZ75" s="51">
        <f t="shared" si="4"/>
        <v>0</v>
      </c>
    </row>
    <row r="76" spans="1:52" s="41" customFormat="1">
      <c r="A76" s="38">
        <v>43651</v>
      </c>
      <c r="B76" s="57"/>
      <c r="C76" s="58" t="s">
        <v>83</v>
      </c>
      <c r="D76" s="40" t="s">
        <v>84</v>
      </c>
      <c r="E76" s="40" t="s">
        <v>85</v>
      </c>
      <c r="G76" s="42" t="s">
        <v>82</v>
      </c>
      <c r="H76" s="43">
        <v>7</v>
      </c>
      <c r="I76" s="44"/>
      <c r="J76" s="45"/>
      <c r="K76" s="45"/>
      <c r="L76" s="45"/>
      <c r="M76" s="45"/>
      <c r="N76" s="45"/>
      <c r="O76" s="45"/>
      <c r="P76" s="45"/>
      <c r="Q76" s="45">
        <v>7</v>
      </c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6">
        <f t="shared" si="5"/>
        <v>7</v>
      </c>
      <c r="AZ76" s="41">
        <f t="shared" si="4"/>
        <v>0</v>
      </c>
    </row>
    <row r="77" spans="1:52">
      <c r="A77" s="11">
        <v>43658</v>
      </c>
      <c r="B77" s="12"/>
      <c r="C77" s="19" t="s">
        <v>83</v>
      </c>
      <c r="D77" s="24" t="s">
        <v>86</v>
      </c>
      <c r="E77" s="24" t="s">
        <v>214</v>
      </c>
      <c r="G77" s="21" t="s">
        <v>82</v>
      </c>
      <c r="H77" s="25">
        <v>76.790000000000006</v>
      </c>
      <c r="I77" s="26">
        <v>12.8</v>
      </c>
      <c r="J77" s="18"/>
      <c r="K77" s="18"/>
      <c r="L77" s="18"/>
      <c r="M77" s="18"/>
      <c r="N77" s="18">
        <v>63.99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8">
        <f t="shared" si="5"/>
        <v>76.790000000000006</v>
      </c>
      <c r="AZ77" s="4">
        <f t="shared" si="4"/>
        <v>0</v>
      </c>
    </row>
    <row r="78" spans="1:52">
      <c r="A78" s="69">
        <v>43662</v>
      </c>
      <c r="B78" s="68"/>
      <c r="C78" s="19" t="s">
        <v>83</v>
      </c>
      <c r="D78" s="24" t="s">
        <v>88</v>
      </c>
      <c r="E78" s="24" t="s">
        <v>215</v>
      </c>
      <c r="G78" s="21" t="s">
        <v>82</v>
      </c>
      <c r="H78" s="66">
        <v>551.94000000000005</v>
      </c>
      <c r="I78" s="24">
        <v>91.99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>
        <v>459.95</v>
      </c>
      <c r="AU78" s="18"/>
      <c r="AV78" s="18"/>
      <c r="AW78" s="18"/>
      <c r="AX78" s="18"/>
      <c r="AY78" s="8">
        <f t="shared" si="5"/>
        <v>551.93999999999994</v>
      </c>
      <c r="AZ78" s="4">
        <f t="shared" si="4"/>
        <v>0</v>
      </c>
    </row>
    <row r="79" spans="1:52">
      <c r="A79" s="11">
        <v>43669</v>
      </c>
      <c r="B79" s="12" t="s">
        <v>216</v>
      </c>
      <c r="C79" s="19"/>
      <c r="D79" s="24" t="s">
        <v>95</v>
      </c>
      <c r="E79" s="20" t="s">
        <v>217</v>
      </c>
      <c r="G79" s="21" t="s">
        <v>82</v>
      </c>
      <c r="H79" s="16">
        <v>639.35</v>
      </c>
      <c r="I79" s="26"/>
      <c r="J79" s="18">
        <v>639.35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8">
        <f t="shared" si="5"/>
        <v>639.35</v>
      </c>
      <c r="AZ79" s="4">
        <f t="shared" si="4"/>
        <v>0</v>
      </c>
    </row>
    <row r="80" spans="1:52">
      <c r="A80" s="11">
        <v>43669</v>
      </c>
      <c r="B80" s="12" t="s">
        <v>218</v>
      </c>
      <c r="C80" s="64" t="s">
        <v>219</v>
      </c>
      <c r="D80" s="20" t="s">
        <v>97</v>
      </c>
      <c r="E80" s="24" t="s">
        <v>220</v>
      </c>
      <c r="G80" s="21" t="s">
        <v>82</v>
      </c>
      <c r="H80" s="16">
        <v>45</v>
      </c>
      <c r="I80" s="26"/>
      <c r="J80" s="18"/>
      <c r="K80" s="18"/>
      <c r="L80" s="18"/>
      <c r="M80" s="18"/>
      <c r="N80" s="18"/>
      <c r="O80" s="18"/>
      <c r="P80" s="18"/>
      <c r="Q80" s="18"/>
      <c r="R80" s="18"/>
      <c r="S80" s="18">
        <v>45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8">
        <f t="shared" si="5"/>
        <v>45</v>
      </c>
      <c r="AZ80" s="4">
        <f t="shared" si="4"/>
        <v>0</v>
      </c>
    </row>
    <row r="81" spans="1:52">
      <c r="A81" s="11">
        <v>43669</v>
      </c>
      <c r="B81" s="12" t="s">
        <v>221</v>
      </c>
      <c r="C81" s="70"/>
      <c r="D81" s="24" t="s">
        <v>100</v>
      </c>
      <c r="E81" s="36" t="s">
        <v>222</v>
      </c>
      <c r="G81" s="21" t="s">
        <v>82</v>
      </c>
      <c r="H81" s="66">
        <v>41.67</v>
      </c>
      <c r="I81" s="24"/>
      <c r="J81" s="18"/>
      <c r="K81" s="18"/>
      <c r="L81" s="18"/>
      <c r="M81" s="18"/>
      <c r="N81" s="18"/>
      <c r="O81" s="18"/>
      <c r="P81" s="18"/>
      <c r="Q81" s="18"/>
      <c r="R81" s="18">
        <v>41.67</v>
      </c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8">
        <f t="shared" si="5"/>
        <v>41.67</v>
      </c>
      <c r="AZ81" s="4">
        <f t="shared" si="4"/>
        <v>0</v>
      </c>
    </row>
    <row r="82" spans="1:52">
      <c r="A82" s="11">
        <v>43669</v>
      </c>
      <c r="B82" s="12" t="s">
        <v>223</v>
      </c>
      <c r="C82" s="31"/>
      <c r="D82" s="24" t="s">
        <v>103</v>
      </c>
      <c r="E82" s="24" t="s">
        <v>224</v>
      </c>
      <c r="G82" s="21" t="s">
        <v>82</v>
      </c>
      <c r="H82" s="16">
        <v>673.99</v>
      </c>
      <c r="I82" s="26">
        <v>112.33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>
        <v>192.78</v>
      </c>
      <c r="AB82" s="18">
        <f>23.51+23.51</f>
        <v>47.02</v>
      </c>
      <c r="AC82" s="18">
        <f>23.51+108.14</f>
        <v>131.65</v>
      </c>
      <c r="AD82" s="18">
        <v>147.16</v>
      </c>
      <c r="AE82" s="18">
        <v>43.05</v>
      </c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8">
        <f t="shared" si="5"/>
        <v>673.9899999999999</v>
      </c>
      <c r="AZ82" s="4">
        <f t="shared" si="4"/>
        <v>0</v>
      </c>
    </row>
    <row r="83" spans="1:52">
      <c r="A83" s="11">
        <v>43669</v>
      </c>
      <c r="B83" s="12" t="s">
        <v>225</v>
      </c>
      <c r="C83" s="31"/>
      <c r="D83" s="24" t="s">
        <v>106</v>
      </c>
      <c r="E83" s="24" t="s">
        <v>226</v>
      </c>
      <c r="G83" s="21" t="s">
        <v>82</v>
      </c>
      <c r="H83" s="66">
        <v>441</v>
      </c>
      <c r="I83" s="24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>
        <v>441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8">
        <f t="shared" si="5"/>
        <v>441</v>
      </c>
      <c r="AZ83" s="4">
        <f t="shared" si="4"/>
        <v>0</v>
      </c>
    </row>
    <row r="84" spans="1:52">
      <c r="A84" s="11">
        <v>43669</v>
      </c>
      <c r="B84" s="12" t="s">
        <v>227</v>
      </c>
      <c r="C84" s="19"/>
      <c r="D84" s="24" t="s">
        <v>80</v>
      </c>
      <c r="E84" s="24" t="s">
        <v>228</v>
      </c>
      <c r="G84" s="21" t="s">
        <v>82</v>
      </c>
      <c r="H84" s="16">
        <v>54.68</v>
      </c>
      <c r="I84" s="26">
        <v>3.83</v>
      </c>
      <c r="J84" s="18"/>
      <c r="K84" s="18"/>
      <c r="L84" s="18"/>
      <c r="M84" s="18">
        <f>4.5+13.5</f>
        <v>18</v>
      </c>
      <c r="N84" s="18"/>
      <c r="O84" s="18">
        <f>19.17+12.18</f>
        <v>31.35</v>
      </c>
      <c r="P84" s="18"/>
      <c r="Q84" s="18"/>
      <c r="R84" s="18">
        <v>1.5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8">
        <f t="shared" si="5"/>
        <v>54.68</v>
      </c>
      <c r="AZ84" s="4">
        <f t="shared" si="4"/>
        <v>0</v>
      </c>
    </row>
    <row r="85" spans="1:52">
      <c r="A85" s="11">
        <v>43669</v>
      </c>
      <c r="B85" s="12" t="s">
        <v>229</v>
      </c>
      <c r="C85" s="19"/>
      <c r="D85" s="24" t="s">
        <v>95</v>
      </c>
      <c r="E85" s="24" t="s">
        <v>228</v>
      </c>
      <c r="G85" s="21" t="s">
        <v>82</v>
      </c>
      <c r="H85" s="16">
        <v>43.15</v>
      </c>
      <c r="I85" s="26">
        <v>6.14</v>
      </c>
      <c r="J85" s="18"/>
      <c r="K85" s="18"/>
      <c r="L85" s="18"/>
      <c r="M85" s="18">
        <v>6.3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>
        <v>30.71</v>
      </c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8">
        <f t="shared" si="5"/>
        <v>43.15</v>
      </c>
      <c r="AZ85" s="4">
        <f t="shared" si="4"/>
        <v>0</v>
      </c>
    </row>
    <row r="86" spans="1:52">
      <c r="A86" s="11">
        <v>43669</v>
      </c>
      <c r="B86" s="12" t="s">
        <v>230</v>
      </c>
      <c r="C86" s="19"/>
      <c r="D86" s="36" t="s">
        <v>231</v>
      </c>
      <c r="E86" s="35" t="s">
        <v>232</v>
      </c>
      <c r="G86" s="21" t="s">
        <v>82</v>
      </c>
      <c r="H86" s="28">
        <v>120</v>
      </c>
      <c r="I86" s="26"/>
      <c r="J86" s="18"/>
      <c r="K86" s="18"/>
      <c r="L86" s="18"/>
      <c r="M86" s="18"/>
      <c r="N86" s="18"/>
      <c r="O86" s="18"/>
      <c r="P86" s="18"/>
      <c r="Q86" s="18"/>
      <c r="R86" s="18"/>
      <c r="S86" s="18">
        <v>120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8">
        <f t="shared" si="5"/>
        <v>120</v>
      </c>
      <c r="AZ86" s="4">
        <f t="shared" si="4"/>
        <v>0</v>
      </c>
    </row>
    <row r="87" spans="1:52">
      <c r="A87" s="11">
        <v>43669</v>
      </c>
      <c r="B87" s="12" t="s">
        <v>233</v>
      </c>
      <c r="C87" s="19"/>
      <c r="D87" s="36" t="s">
        <v>234</v>
      </c>
      <c r="E87" s="37" t="s">
        <v>235</v>
      </c>
      <c r="G87" s="21" t="s">
        <v>82</v>
      </c>
      <c r="H87" s="28">
        <v>6.89</v>
      </c>
      <c r="I87" s="17">
        <v>1.1399999999999999</v>
      </c>
      <c r="J87" s="18"/>
      <c r="K87" s="18"/>
      <c r="L87" s="18"/>
      <c r="M87" s="18"/>
      <c r="N87" s="18"/>
      <c r="O87" s="18"/>
      <c r="P87" s="18"/>
      <c r="Q87" s="18"/>
      <c r="R87" s="18">
        <v>5.75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8">
        <f t="shared" si="5"/>
        <v>6.89</v>
      </c>
      <c r="AZ87" s="4">
        <f t="shared" si="4"/>
        <v>0</v>
      </c>
    </row>
    <row r="88" spans="1:52">
      <c r="A88" s="11">
        <v>43669</v>
      </c>
      <c r="B88" s="12" t="s">
        <v>236</v>
      </c>
      <c r="C88" s="19"/>
      <c r="D88" s="36" t="s">
        <v>203</v>
      </c>
      <c r="E88" s="36" t="s">
        <v>237</v>
      </c>
      <c r="G88" s="21" t="s">
        <v>82</v>
      </c>
      <c r="H88" s="28">
        <v>60</v>
      </c>
      <c r="I88" s="17">
        <v>10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>
        <v>50</v>
      </c>
      <c r="AU88" s="18"/>
      <c r="AV88" s="18"/>
      <c r="AW88" s="18"/>
      <c r="AX88" s="18"/>
      <c r="AY88" s="8">
        <f t="shared" si="5"/>
        <v>60</v>
      </c>
      <c r="AZ88" s="4">
        <f t="shared" si="4"/>
        <v>0</v>
      </c>
    </row>
    <row r="89" spans="1:52">
      <c r="A89" s="11">
        <v>43669</v>
      </c>
      <c r="B89" s="12" t="s">
        <v>238</v>
      </c>
      <c r="C89" s="19"/>
      <c r="D89" s="36" t="s">
        <v>133</v>
      </c>
      <c r="E89" s="36" t="s">
        <v>239</v>
      </c>
      <c r="G89" s="21" t="s">
        <v>82</v>
      </c>
      <c r="H89" s="28">
        <v>364</v>
      </c>
      <c r="I89" s="1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>
        <v>364</v>
      </c>
      <c r="AP89" s="18"/>
      <c r="AQ89" s="18"/>
      <c r="AR89" s="18"/>
      <c r="AS89" s="18"/>
      <c r="AT89" s="18"/>
      <c r="AU89" s="18"/>
      <c r="AV89" s="18"/>
      <c r="AW89" s="18"/>
      <c r="AX89" s="18"/>
      <c r="AY89" s="8">
        <f t="shared" si="5"/>
        <v>364</v>
      </c>
      <c r="AZ89" s="4">
        <f t="shared" si="4"/>
        <v>0</v>
      </c>
    </row>
    <row r="90" spans="1:52">
      <c r="A90" s="11">
        <v>43669</v>
      </c>
      <c r="B90" s="19" t="s">
        <v>240</v>
      </c>
      <c r="C90" s="31"/>
      <c r="D90" s="24" t="s">
        <v>231</v>
      </c>
      <c r="E90" s="24" t="s">
        <v>241</v>
      </c>
      <c r="G90" s="21" t="s">
        <v>82</v>
      </c>
      <c r="H90" s="16">
        <v>200</v>
      </c>
      <c r="I90" s="26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>
        <v>200</v>
      </c>
      <c r="AX90" s="18"/>
      <c r="AY90" s="8">
        <f t="shared" si="5"/>
        <v>200</v>
      </c>
      <c r="AZ90" s="4">
        <f t="shared" si="4"/>
        <v>0</v>
      </c>
    </row>
    <row r="91" spans="1:52">
      <c r="A91" s="11">
        <v>43669</v>
      </c>
      <c r="B91" s="70" t="s">
        <v>242</v>
      </c>
      <c r="C91" s="31"/>
      <c r="D91" s="20" t="s">
        <v>97</v>
      </c>
      <c r="E91" s="27" t="s">
        <v>243</v>
      </c>
      <c r="G91" s="21" t="s">
        <v>82</v>
      </c>
      <c r="H91" s="66">
        <v>150</v>
      </c>
      <c r="I91" s="24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>
        <v>150</v>
      </c>
      <c r="AT91" s="18"/>
      <c r="AU91" s="18"/>
      <c r="AV91" s="18"/>
      <c r="AW91" s="18"/>
      <c r="AX91" s="18"/>
      <c r="AY91" s="8">
        <f t="shared" si="5"/>
        <v>150</v>
      </c>
      <c r="AZ91" s="4">
        <f t="shared" si="4"/>
        <v>0</v>
      </c>
    </row>
    <row r="92" spans="1:52">
      <c r="A92" s="11">
        <v>43670</v>
      </c>
      <c r="B92" s="12"/>
      <c r="C92" s="68" t="s">
        <v>83</v>
      </c>
      <c r="D92" s="36" t="s">
        <v>175</v>
      </c>
      <c r="E92" s="36"/>
      <c r="F92" s="6"/>
      <c r="G92" s="21" t="s">
        <v>82</v>
      </c>
      <c r="H92" s="66">
        <v>30.3</v>
      </c>
      <c r="I92" s="24">
        <v>1.25</v>
      </c>
      <c r="J92" s="18"/>
      <c r="K92" s="18"/>
      <c r="L92" s="18"/>
      <c r="M92" s="18"/>
      <c r="N92" s="18"/>
      <c r="O92" s="18"/>
      <c r="P92" s="18"/>
      <c r="Q92" s="18"/>
      <c r="R92" s="18">
        <v>29.05</v>
      </c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8">
        <f t="shared" si="5"/>
        <v>30.3</v>
      </c>
      <c r="AZ92" s="4">
        <f t="shared" si="4"/>
        <v>0</v>
      </c>
    </row>
    <row r="93" spans="1:52">
      <c r="A93" s="11">
        <v>43670</v>
      </c>
      <c r="B93" s="70"/>
      <c r="C93" s="31" t="s">
        <v>83</v>
      </c>
      <c r="D93" s="24" t="s">
        <v>244</v>
      </c>
      <c r="E93" s="24" t="s">
        <v>245</v>
      </c>
      <c r="G93" s="21" t="s">
        <v>82</v>
      </c>
      <c r="H93" s="66">
        <v>13.21</v>
      </c>
      <c r="I93" s="24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>
        <v>13.21</v>
      </c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8">
        <f t="shared" si="5"/>
        <v>13.21</v>
      </c>
      <c r="AZ93" s="4">
        <f t="shared" si="4"/>
        <v>0</v>
      </c>
    </row>
    <row r="94" spans="1:52">
      <c r="A94" s="11">
        <v>43676</v>
      </c>
      <c r="B94" s="70"/>
      <c r="C94" s="31" t="s">
        <v>83</v>
      </c>
      <c r="D94" s="24" t="s">
        <v>244</v>
      </c>
      <c r="E94" s="24" t="s">
        <v>145</v>
      </c>
      <c r="G94" s="21" t="s">
        <v>82</v>
      </c>
      <c r="H94" s="66">
        <v>168.97</v>
      </c>
      <c r="I94" s="24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>
        <v>168.97</v>
      </c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8">
        <f t="shared" si="5"/>
        <v>168.97</v>
      </c>
      <c r="AZ94" s="4">
        <f t="shared" si="4"/>
        <v>0</v>
      </c>
    </row>
    <row r="95" spans="1:52">
      <c r="A95" s="11">
        <v>43677</v>
      </c>
      <c r="B95" s="19" t="s">
        <v>246</v>
      </c>
      <c r="C95" s="31"/>
      <c r="D95" s="20" t="s">
        <v>46</v>
      </c>
      <c r="E95" s="20" t="s">
        <v>247</v>
      </c>
      <c r="G95" s="21" t="s">
        <v>82</v>
      </c>
      <c r="H95" s="22">
        <v>791.35</v>
      </c>
      <c r="I95" s="17"/>
      <c r="J95" s="18"/>
      <c r="K95" s="18">
        <v>791.35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8">
        <f t="shared" si="5"/>
        <v>791.35</v>
      </c>
      <c r="AZ95" s="4">
        <f t="shared" si="4"/>
        <v>0</v>
      </c>
    </row>
    <row r="96" spans="1:52">
      <c r="A96" s="11">
        <v>43677</v>
      </c>
      <c r="B96" s="68" t="s">
        <v>248</v>
      </c>
      <c r="C96" s="19"/>
      <c r="D96" s="20" t="s">
        <v>117</v>
      </c>
      <c r="E96" s="20" t="s">
        <v>249</v>
      </c>
      <c r="G96" s="21" t="s">
        <v>82</v>
      </c>
      <c r="H96" s="22">
        <v>970.84</v>
      </c>
      <c r="I96" s="24"/>
      <c r="J96" s="18"/>
      <c r="K96" s="18"/>
      <c r="L96" s="18">
        <f>H96</f>
        <v>970.84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8">
        <f t="shared" si="5"/>
        <v>970.84</v>
      </c>
      <c r="AZ96" s="4">
        <f t="shared" si="4"/>
        <v>0</v>
      </c>
    </row>
    <row r="97" spans="1:52" s="51" customFormat="1">
      <c r="A97" s="47">
        <v>43678</v>
      </c>
      <c r="B97" s="60"/>
      <c r="C97" s="60" t="s">
        <v>79</v>
      </c>
      <c r="D97" s="61" t="s">
        <v>80</v>
      </c>
      <c r="E97" s="61" t="s">
        <v>250</v>
      </c>
      <c r="G97" s="62" t="s">
        <v>82</v>
      </c>
      <c r="H97" s="63">
        <v>1967.67</v>
      </c>
      <c r="I97" s="54"/>
      <c r="J97" s="55">
        <v>1967.67</v>
      </c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6">
        <f t="shared" si="5"/>
        <v>1967.67</v>
      </c>
      <c r="AZ97" s="51">
        <f t="shared" si="4"/>
        <v>0</v>
      </c>
    </row>
    <row r="98" spans="1:52" s="41" customFormat="1">
      <c r="A98" s="38">
        <v>43679</v>
      </c>
      <c r="B98" s="57"/>
      <c r="C98" s="58" t="s">
        <v>83</v>
      </c>
      <c r="D98" s="40" t="s">
        <v>84</v>
      </c>
      <c r="E98" s="40" t="s">
        <v>85</v>
      </c>
      <c r="G98" s="42" t="s">
        <v>82</v>
      </c>
      <c r="H98" s="43">
        <v>7</v>
      </c>
      <c r="I98" s="44"/>
      <c r="J98" s="45"/>
      <c r="K98" s="45"/>
      <c r="L98" s="45"/>
      <c r="M98" s="45"/>
      <c r="N98" s="45"/>
      <c r="O98" s="45"/>
      <c r="P98" s="45"/>
      <c r="Q98" s="45">
        <v>7</v>
      </c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6">
        <f t="shared" si="5"/>
        <v>7</v>
      </c>
      <c r="AZ98" s="41">
        <f t="shared" si="4"/>
        <v>0</v>
      </c>
    </row>
    <row r="99" spans="1:52">
      <c r="A99" s="11">
        <v>43689</v>
      </c>
      <c r="B99" s="12"/>
      <c r="C99" s="19" t="s">
        <v>83</v>
      </c>
      <c r="D99" s="24" t="s">
        <v>86</v>
      </c>
      <c r="E99" s="24" t="s">
        <v>251</v>
      </c>
      <c r="G99" s="21" t="s">
        <v>82</v>
      </c>
      <c r="H99" s="25">
        <v>75.34</v>
      </c>
      <c r="I99" s="26">
        <v>12.56</v>
      </c>
      <c r="J99" s="18"/>
      <c r="K99" s="18"/>
      <c r="L99" s="18"/>
      <c r="M99" s="18"/>
      <c r="N99" s="18">
        <v>62.78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8">
        <f t="shared" si="5"/>
        <v>75.34</v>
      </c>
      <c r="AZ99" s="4">
        <f t="shared" si="4"/>
        <v>0</v>
      </c>
    </row>
    <row r="100" spans="1:52">
      <c r="A100" s="11">
        <v>43691</v>
      </c>
      <c r="B100" s="70" t="s">
        <v>252</v>
      </c>
      <c r="C100" s="31"/>
      <c r="D100" s="24" t="s">
        <v>253</v>
      </c>
      <c r="E100" s="24" t="s">
        <v>254</v>
      </c>
      <c r="G100" s="21" t="s">
        <v>82</v>
      </c>
      <c r="H100" s="66">
        <v>399</v>
      </c>
      <c r="I100" s="24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S100" s="18"/>
      <c r="AT100" s="18"/>
      <c r="AU100" s="18"/>
      <c r="AV100" s="18"/>
      <c r="AW100" s="18">
        <v>399</v>
      </c>
      <c r="AX100" s="18"/>
      <c r="AY100" s="8">
        <f t="shared" si="5"/>
        <v>399</v>
      </c>
      <c r="AZ100" s="4">
        <f t="shared" si="4"/>
        <v>0</v>
      </c>
    </row>
    <row r="101" spans="1:52">
      <c r="A101" s="69">
        <v>43692</v>
      </c>
      <c r="B101" s="68"/>
      <c r="C101" s="19" t="s">
        <v>83</v>
      </c>
      <c r="D101" s="24" t="s">
        <v>88</v>
      </c>
      <c r="E101" s="24" t="s">
        <v>255</v>
      </c>
      <c r="G101" s="21" t="s">
        <v>82</v>
      </c>
      <c r="H101" s="66">
        <v>570.34</v>
      </c>
      <c r="I101" s="24">
        <v>95.06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>
        <v>475.28</v>
      </c>
      <c r="AU101" s="18"/>
      <c r="AV101" s="18"/>
      <c r="AW101" s="18"/>
      <c r="AX101" s="18"/>
      <c r="AY101" s="8">
        <f t="shared" si="5"/>
        <v>570.33999999999992</v>
      </c>
      <c r="AZ101" s="4">
        <f t="shared" si="4"/>
        <v>0</v>
      </c>
    </row>
    <row r="102" spans="1:52">
      <c r="A102" s="11">
        <v>43692</v>
      </c>
      <c r="B102" s="70" t="s">
        <v>256</v>
      </c>
      <c r="C102" s="31"/>
      <c r="D102" s="24" t="s">
        <v>257</v>
      </c>
      <c r="E102" s="24" t="s">
        <v>258</v>
      </c>
      <c r="G102" s="21" t="s">
        <v>82</v>
      </c>
      <c r="H102" s="66">
        <v>303.60000000000002</v>
      </c>
      <c r="I102" s="24">
        <v>50.6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>
        <v>253</v>
      </c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8">
        <f t="shared" si="5"/>
        <v>303.60000000000002</v>
      </c>
      <c r="AZ102" s="4">
        <f t="shared" si="4"/>
        <v>0</v>
      </c>
    </row>
    <row r="103" spans="1:52">
      <c r="A103" s="11">
        <v>43699</v>
      </c>
      <c r="B103" s="12" t="s">
        <v>259</v>
      </c>
      <c r="C103" s="19"/>
      <c r="D103" s="24" t="s">
        <v>95</v>
      </c>
      <c r="E103" s="20" t="s">
        <v>260</v>
      </c>
      <c r="G103" s="21" t="s">
        <v>82</v>
      </c>
      <c r="H103" s="16">
        <v>639.35</v>
      </c>
      <c r="I103" s="26"/>
      <c r="J103" s="18">
        <v>639.35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8">
        <f t="shared" si="5"/>
        <v>639.35</v>
      </c>
      <c r="AZ103" s="4">
        <f t="shared" si="4"/>
        <v>0</v>
      </c>
    </row>
    <row r="104" spans="1:52">
      <c r="A104" s="11">
        <v>43699</v>
      </c>
      <c r="B104" s="12" t="s">
        <v>261</v>
      </c>
      <c r="C104" s="64"/>
      <c r="D104" s="20" t="s">
        <v>97</v>
      </c>
      <c r="E104" s="24" t="s">
        <v>262</v>
      </c>
      <c r="G104" s="21" t="s">
        <v>82</v>
      </c>
      <c r="H104" s="16">
        <v>45</v>
      </c>
      <c r="I104" s="26"/>
      <c r="J104" s="18"/>
      <c r="K104" s="18"/>
      <c r="L104" s="18"/>
      <c r="M104" s="18"/>
      <c r="N104" s="18"/>
      <c r="O104" s="18"/>
      <c r="P104" s="18"/>
      <c r="Q104" s="18"/>
      <c r="R104" s="18"/>
      <c r="S104" s="18">
        <v>45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8">
        <f t="shared" si="5"/>
        <v>45</v>
      </c>
      <c r="AZ104" s="4">
        <f t="shared" si="4"/>
        <v>0</v>
      </c>
    </row>
    <row r="105" spans="1:52">
      <c r="A105" s="11">
        <v>43699</v>
      </c>
      <c r="B105" s="12" t="s">
        <v>263</v>
      </c>
      <c r="C105" s="31"/>
      <c r="D105" s="24" t="s">
        <v>103</v>
      </c>
      <c r="E105" s="24" t="s">
        <v>264</v>
      </c>
      <c r="G105" s="21" t="s">
        <v>82</v>
      </c>
      <c r="H105" s="16">
        <v>817.99</v>
      </c>
      <c r="I105" s="26">
        <v>136.33000000000001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>
        <v>192.78</v>
      </c>
      <c r="AB105" s="18">
        <f>23.51+23.51</f>
        <v>47.02</v>
      </c>
      <c r="AC105" s="18">
        <f>23.51+108.14</f>
        <v>131.65</v>
      </c>
      <c r="AD105" s="18">
        <v>147.16</v>
      </c>
      <c r="AE105" s="18">
        <v>43.05</v>
      </c>
      <c r="AF105" s="18"/>
      <c r="AG105" s="18"/>
      <c r="AH105" s="18"/>
      <c r="AI105" s="18"/>
      <c r="AJ105" s="18"/>
      <c r="AK105" s="18"/>
      <c r="AL105" s="18"/>
      <c r="AM105" s="18">
        <v>120</v>
      </c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8">
        <f t="shared" si="5"/>
        <v>817.9899999999999</v>
      </c>
      <c r="AZ105" s="4">
        <f t="shared" si="4"/>
        <v>0</v>
      </c>
    </row>
    <row r="106" spans="1:52">
      <c r="A106" s="11">
        <v>43699</v>
      </c>
      <c r="B106" s="12" t="s">
        <v>265</v>
      </c>
      <c r="C106" s="31"/>
      <c r="D106" s="24" t="s">
        <v>106</v>
      </c>
      <c r="E106" s="24" t="s">
        <v>266</v>
      </c>
      <c r="G106" s="21" t="s">
        <v>82</v>
      </c>
      <c r="H106" s="66">
        <v>441</v>
      </c>
      <c r="I106" s="24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>
        <v>441</v>
      </c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8">
        <f t="shared" si="5"/>
        <v>441</v>
      </c>
      <c r="AZ106" s="4">
        <f t="shared" si="4"/>
        <v>0</v>
      </c>
    </row>
    <row r="107" spans="1:52">
      <c r="A107" s="11">
        <v>43699</v>
      </c>
      <c r="B107" s="12" t="s">
        <v>267</v>
      </c>
      <c r="C107" s="19"/>
      <c r="D107" s="24" t="s">
        <v>80</v>
      </c>
      <c r="E107" s="24" t="s">
        <v>268</v>
      </c>
      <c r="G107" s="21" t="s">
        <v>82</v>
      </c>
      <c r="H107" s="16">
        <v>48.68</v>
      </c>
      <c r="I107" s="26">
        <v>3.83</v>
      </c>
      <c r="J107" s="18"/>
      <c r="K107" s="18"/>
      <c r="L107" s="18"/>
      <c r="M107" s="18">
        <v>13.5</v>
      </c>
      <c r="N107" s="18"/>
      <c r="O107" s="18">
        <f>19.17+12.18</f>
        <v>31.35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8">
        <f t="shared" si="5"/>
        <v>48.68</v>
      </c>
      <c r="AZ107" s="4">
        <f t="shared" si="4"/>
        <v>0</v>
      </c>
    </row>
    <row r="108" spans="1:52">
      <c r="A108" s="11">
        <v>43699</v>
      </c>
      <c r="B108" s="12" t="s">
        <v>269</v>
      </c>
      <c r="C108" s="19"/>
      <c r="D108" s="24" t="s">
        <v>95</v>
      </c>
      <c r="E108" s="24" t="s">
        <v>268</v>
      </c>
      <c r="G108" s="21" t="s">
        <v>82</v>
      </c>
      <c r="H108" s="16">
        <v>10.8</v>
      </c>
      <c r="I108" s="26"/>
      <c r="J108" s="18"/>
      <c r="K108" s="18"/>
      <c r="L108" s="18"/>
      <c r="M108" s="18">
        <v>10.8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8">
        <f t="shared" si="5"/>
        <v>10.8</v>
      </c>
      <c r="AZ108" s="4">
        <f t="shared" si="4"/>
        <v>0</v>
      </c>
    </row>
    <row r="109" spans="1:52">
      <c r="A109" s="11">
        <v>43699</v>
      </c>
      <c r="B109" s="12" t="s">
        <v>270</v>
      </c>
      <c r="C109" s="19"/>
      <c r="D109" s="36" t="s">
        <v>203</v>
      </c>
      <c r="E109" s="36" t="s">
        <v>271</v>
      </c>
      <c r="G109" s="21" t="s">
        <v>82</v>
      </c>
      <c r="H109" s="28">
        <v>60</v>
      </c>
      <c r="I109" s="17">
        <v>10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>
        <v>50</v>
      </c>
      <c r="AU109" s="18"/>
      <c r="AV109" s="18"/>
      <c r="AW109" s="18"/>
      <c r="AX109" s="18"/>
      <c r="AY109" s="8">
        <f t="shared" si="5"/>
        <v>60</v>
      </c>
      <c r="AZ109" s="4">
        <f t="shared" si="4"/>
        <v>0</v>
      </c>
    </row>
    <row r="110" spans="1:52">
      <c r="A110" s="11">
        <v>43699</v>
      </c>
      <c r="B110" s="12" t="s">
        <v>272</v>
      </c>
      <c r="C110" s="19"/>
      <c r="D110" s="36" t="s">
        <v>234</v>
      </c>
      <c r="E110" s="37" t="s">
        <v>273</v>
      </c>
      <c r="G110" s="21" t="s">
        <v>82</v>
      </c>
      <c r="H110" s="28">
        <v>3.99</v>
      </c>
      <c r="I110" s="17">
        <v>0.67</v>
      </c>
      <c r="J110" s="18"/>
      <c r="K110" s="18"/>
      <c r="L110" s="18"/>
      <c r="M110" s="18"/>
      <c r="N110" s="18"/>
      <c r="O110" s="18"/>
      <c r="P110" s="18"/>
      <c r="Q110" s="18"/>
      <c r="R110" s="18">
        <v>3.32</v>
      </c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8">
        <f t="shared" si="5"/>
        <v>3.9899999999999998</v>
      </c>
      <c r="AZ110" s="4">
        <f t="shared" si="4"/>
        <v>0</v>
      </c>
    </row>
    <row r="111" spans="1:52">
      <c r="A111" s="11">
        <v>43700</v>
      </c>
      <c r="B111" s="70" t="s">
        <v>274</v>
      </c>
      <c r="C111" s="31"/>
      <c r="D111" s="20" t="s">
        <v>275</v>
      </c>
      <c r="E111" s="24" t="s">
        <v>276</v>
      </c>
      <c r="G111" s="21" t="s">
        <v>82</v>
      </c>
      <c r="H111" s="16">
        <v>32.5</v>
      </c>
      <c r="I111" s="26"/>
      <c r="J111" s="18"/>
      <c r="K111" s="18"/>
      <c r="L111" s="18"/>
      <c r="M111" s="18"/>
      <c r="N111" s="18"/>
      <c r="O111" s="18"/>
      <c r="P111" s="18"/>
      <c r="Q111" s="18"/>
      <c r="R111" s="18"/>
      <c r="S111" s="18">
        <v>32.5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8">
        <f t="shared" si="5"/>
        <v>32.5</v>
      </c>
      <c r="AZ111" s="4">
        <f t="shared" si="4"/>
        <v>0</v>
      </c>
    </row>
    <row r="112" spans="1:52">
      <c r="A112" s="11">
        <v>43699</v>
      </c>
      <c r="B112" s="12" t="s">
        <v>277</v>
      </c>
      <c r="C112" s="31"/>
      <c r="D112" s="24" t="s">
        <v>278</v>
      </c>
      <c r="E112" s="24" t="s">
        <v>279</v>
      </c>
      <c r="G112" s="21" t="s">
        <v>82</v>
      </c>
      <c r="H112" s="66">
        <v>300</v>
      </c>
      <c r="I112" s="24">
        <v>50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>
        <v>250</v>
      </c>
      <c r="AY112" s="8">
        <f t="shared" si="5"/>
        <v>300</v>
      </c>
      <c r="AZ112" s="4">
        <f t="shared" si="4"/>
        <v>0</v>
      </c>
    </row>
    <row r="113" spans="1:52">
      <c r="A113" s="11">
        <v>43699</v>
      </c>
      <c r="B113" s="70" t="s">
        <v>280</v>
      </c>
      <c r="C113" s="31"/>
      <c r="D113" s="24" t="s">
        <v>97</v>
      </c>
      <c r="E113" s="24" t="s">
        <v>281</v>
      </c>
      <c r="G113" s="21" t="s">
        <v>82</v>
      </c>
      <c r="H113" s="66">
        <v>250</v>
      </c>
      <c r="I113" s="24"/>
      <c r="J113" s="18"/>
      <c r="K113" s="18"/>
      <c r="L113" s="18"/>
      <c r="M113" s="18"/>
      <c r="N113" s="71"/>
      <c r="O113" s="18"/>
      <c r="P113" s="18"/>
      <c r="Q113" s="18"/>
      <c r="R113" s="18"/>
      <c r="S113" s="18"/>
      <c r="T113" s="18"/>
      <c r="U113" s="18">
        <v>250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8">
        <f t="shared" si="5"/>
        <v>250</v>
      </c>
      <c r="AZ113" s="4">
        <f t="shared" si="4"/>
        <v>0</v>
      </c>
    </row>
    <row r="114" spans="1:52">
      <c r="A114" s="11">
        <v>43699</v>
      </c>
      <c r="B114" s="70" t="s">
        <v>282</v>
      </c>
      <c r="C114" s="31"/>
      <c r="D114" s="20" t="s">
        <v>283</v>
      </c>
      <c r="E114" s="20" t="s">
        <v>284</v>
      </c>
      <c r="G114" s="21" t="s">
        <v>82</v>
      </c>
      <c r="H114" s="66">
        <v>234</v>
      </c>
      <c r="I114" s="24">
        <v>39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>
        <v>195</v>
      </c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8">
        <f t="shared" si="5"/>
        <v>234</v>
      </c>
      <c r="AZ114" s="4">
        <f t="shared" si="4"/>
        <v>0</v>
      </c>
    </row>
    <row r="115" spans="1:52">
      <c r="A115" s="11">
        <v>43699</v>
      </c>
      <c r="B115" s="12" t="s">
        <v>285</v>
      </c>
      <c r="C115" s="31"/>
      <c r="D115" s="20" t="s">
        <v>286</v>
      </c>
      <c r="E115" s="20" t="s">
        <v>287</v>
      </c>
      <c r="G115" s="21" t="s">
        <v>82</v>
      </c>
      <c r="H115" s="66">
        <v>5</v>
      </c>
      <c r="I115" s="24"/>
      <c r="J115" s="18"/>
      <c r="K115" s="18"/>
      <c r="L115" s="18"/>
      <c r="M115" s="18"/>
      <c r="N115" s="18"/>
      <c r="O115" s="18"/>
      <c r="P115" s="18"/>
      <c r="Q115" s="18"/>
      <c r="R115" s="18">
        <v>5</v>
      </c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8">
        <f t="shared" si="5"/>
        <v>5</v>
      </c>
      <c r="AZ115" s="4">
        <f t="shared" si="4"/>
        <v>0</v>
      </c>
    </row>
    <row r="116" spans="1:52">
      <c r="A116" s="11">
        <v>43700</v>
      </c>
      <c r="B116" s="12" t="s">
        <v>288</v>
      </c>
      <c r="C116" s="33" t="s">
        <v>289</v>
      </c>
      <c r="D116" s="24" t="s">
        <v>290</v>
      </c>
      <c r="E116" s="24" t="s">
        <v>291</v>
      </c>
      <c r="G116" s="21" t="s">
        <v>82</v>
      </c>
      <c r="H116" s="66">
        <v>600</v>
      </c>
      <c r="I116" s="24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72">
        <v>600</v>
      </c>
      <c r="AV116" s="18"/>
      <c r="AW116" s="18"/>
      <c r="AX116" s="18"/>
      <c r="AY116" s="8">
        <f t="shared" si="5"/>
        <v>600</v>
      </c>
      <c r="AZ116" s="4">
        <f t="shared" si="4"/>
        <v>0</v>
      </c>
    </row>
    <row r="117" spans="1:52">
      <c r="A117" s="11">
        <v>43704</v>
      </c>
      <c r="B117" s="70" t="s">
        <v>292</v>
      </c>
      <c r="C117" s="31" t="s">
        <v>83</v>
      </c>
      <c r="D117" s="36" t="s">
        <v>175</v>
      </c>
      <c r="E117" s="35"/>
      <c r="G117" s="21" t="s">
        <v>82</v>
      </c>
      <c r="H117" s="66">
        <v>42.28</v>
      </c>
      <c r="I117" s="24">
        <v>5.77</v>
      </c>
      <c r="J117" s="18"/>
      <c r="K117" s="18"/>
      <c r="L117" s="18"/>
      <c r="M117" s="18"/>
      <c r="N117" s="18"/>
      <c r="O117" s="18"/>
      <c r="P117" s="18"/>
      <c r="Q117" s="18"/>
      <c r="R117" s="18">
        <v>36.51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8">
        <f t="shared" si="5"/>
        <v>42.28</v>
      </c>
      <c r="AZ117" s="4">
        <f t="shared" si="4"/>
        <v>0</v>
      </c>
    </row>
    <row r="118" spans="1:52">
      <c r="A118" s="11">
        <v>43704</v>
      </c>
      <c r="B118" s="70" t="s">
        <v>288</v>
      </c>
      <c r="C118" s="33" t="s">
        <v>289</v>
      </c>
      <c r="D118" s="36" t="s">
        <v>290</v>
      </c>
      <c r="E118" s="36" t="s">
        <v>293</v>
      </c>
      <c r="G118" s="21" t="s">
        <v>82</v>
      </c>
      <c r="H118" s="66">
        <v>120</v>
      </c>
      <c r="I118" s="24">
        <v>120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8">
        <f t="shared" si="5"/>
        <v>120</v>
      </c>
      <c r="AZ118" s="4">
        <f t="shared" si="4"/>
        <v>0</v>
      </c>
    </row>
    <row r="119" spans="1:52">
      <c r="A119" s="11">
        <v>43704</v>
      </c>
      <c r="B119" s="70" t="s">
        <v>294</v>
      </c>
      <c r="C119" s="31"/>
      <c r="D119" s="73" t="s">
        <v>295</v>
      </c>
      <c r="E119" s="36" t="s">
        <v>296</v>
      </c>
      <c r="G119" s="21" t="s">
        <v>82</v>
      </c>
      <c r="H119" s="66">
        <v>715</v>
      </c>
      <c r="I119" s="24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>
        <v>715</v>
      </c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8">
        <f t="shared" si="5"/>
        <v>715</v>
      </c>
      <c r="AZ119" s="4">
        <f t="shared" si="4"/>
        <v>0</v>
      </c>
    </row>
    <row r="120" spans="1:52">
      <c r="A120" s="11">
        <v>43707</v>
      </c>
      <c r="B120" s="19" t="s">
        <v>297</v>
      </c>
      <c r="C120" s="31"/>
      <c r="D120" s="20" t="s">
        <v>46</v>
      </c>
      <c r="E120" s="20" t="s">
        <v>298</v>
      </c>
      <c r="G120" s="21" t="s">
        <v>82</v>
      </c>
      <c r="H120" s="22">
        <v>791.55</v>
      </c>
      <c r="I120" s="17"/>
      <c r="J120" s="18"/>
      <c r="K120" s="18">
        <f>H120</f>
        <v>791.55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8">
        <f t="shared" si="5"/>
        <v>791.55</v>
      </c>
      <c r="AZ120" s="4">
        <f t="shared" si="4"/>
        <v>0</v>
      </c>
    </row>
    <row r="121" spans="1:52">
      <c r="A121" s="11">
        <v>43707</v>
      </c>
      <c r="B121" s="68" t="s">
        <v>299</v>
      </c>
      <c r="C121" s="19"/>
      <c r="D121" s="20" t="s">
        <v>117</v>
      </c>
      <c r="E121" s="20" t="s">
        <v>300</v>
      </c>
      <c r="G121" s="21" t="s">
        <v>82</v>
      </c>
      <c r="H121" s="22">
        <v>970.81</v>
      </c>
      <c r="I121" s="24"/>
      <c r="J121" s="18"/>
      <c r="K121" s="18"/>
      <c r="L121" s="18">
        <f>H121</f>
        <v>970.81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8">
        <f t="shared" si="5"/>
        <v>970.81</v>
      </c>
      <c r="AZ121" s="4">
        <f t="shared" si="4"/>
        <v>0</v>
      </c>
    </row>
    <row r="122" spans="1:52" s="51" customFormat="1">
      <c r="A122" s="47">
        <v>43710</v>
      </c>
      <c r="B122" s="60" t="s">
        <v>301</v>
      </c>
      <c r="C122" s="60" t="s">
        <v>79</v>
      </c>
      <c r="D122" s="61" t="s">
        <v>80</v>
      </c>
      <c r="E122" s="61" t="s">
        <v>302</v>
      </c>
      <c r="G122" s="62" t="s">
        <v>82</v>
      </c>
      <c r="H122" s="63">
        <v>1967.47</v>
      </c>
      <c r="I122" s="54"/>
      <c r="J122" s="55">
        <f>H122</f>
        <v>1967.47</v>
      </c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6">
        <f t="shared" si="5"/>
        <v>1967.47</v>
      </c>
      <c r="AZ122" s="51">
        <f t="shared" si="4"/>
        <v>0</v>
      </c>
    </row>
    <row r="123" spans="1:52" s="41" customFormat="1">
      <c r="A123" s="38">
        <v>43711</v>
      </c>
      <c r="B123" s="57" t="s">
        <v>303</v>
      </c>
      <c r="C123" s="58" t="s">
        <v>83</v>
      </c>
      <c r="D123" s="40" t="s">
        <v>84</v>
      </c>
      <c r="E123" s="40" t="s">
        <v>85</v>
      </c>
      <c r="G123" s="42" t="s">
        <v>82</v>
      </c>
      <c r="H123" s="43">
        <v>7</v>
      </c>
      <c r="I123" s="44"/>
      <c r="J123" s="45"/>
      <c r="K123" s="45"/>
      <c r="L123" s="45"/>
      <c r="M123" s="45"/>
      <c r="N123" s="45"/>
      <c r="O123" s="45"/>
      <c r="P123" s="45"/>
      <c r="Q123" s="45">
        <v>7</v>
      </c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6">
        <f t="shared" si="5"/>
        <v>7</v>
      </c>
      <c r="AZ123" s="41">
        <f t="shared" si="4"/>
        <v>0</v>
      </c>
    </row>
    <row r="124" spans="1:52">
      <c r="A124" s="11">
        <v>43717</v>
      </c>
      <c r="B124" s="70" t="s">
        <v>304</v>
      </c>
      <c r="C124" s="31"/>
      <c r="D124" s="24" t="s">
        <v>305</v>
      </c>
      <c r="E124" s="24" t="s">
        <v>306</v>
      </c>
      <c r="G124" s="21" t="s">
        <v>82</v>
      </c>
      <c r="H124" s="66">
        <v>1000</v>
      </c>
      <c r="I124" s="24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74">
        <v>1000</v>
      </c>
      <c r="AV124" s="18"/>
      <c r="AX124" s="18"/>
      <c r="AY124" s="8">
        <f t="shared" si="5"/>
        <v>1000</v>
      </c>
      <c r="AZ124" s="4">
        <f t="shared" si="4"/>
        <v>0</v>
      </c>
    </row>
    <row r="125" spans="1:52">
      <c r="A125" s="11">
        <v>43719</v>
      </c>
      <c r="B125" s="12" t="s">
        <v>307</v>
      </c>
      <c r="C125" s="19" t="s">
        <v>83</v>
      </c>
      <c r="D125" s="24" t="s">
        <v>86</v>
      </c>
      <c r="E125" s="24" t="s">
        <v>308</v>
      </c>
      <c r="G125" s="21" t="s">
        <v>82</v>
      </c>
      <c r="H125" s="25">
        <v>71.27</v>
      </c>
      <c r="I125" s="26">
        <v>11.88</v>
      </c>
      <c r="J125" s="18"/>
      <c r="K125" s="18"/>
      <c r="L125" s="18"/>
      <c r="M125" s="18"/>
      <c r="N125" s="18">
        <v>59.39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46">
        <f t="shared" si="5"/>
        <v>71.27</v>
      </c>
      <c r="AZ125" s="4">
        <f t="shared" si="4"/>
        <v>0</v>
      </c>
    </row>
    <row r="126" spans="1:52">
      <c r="A126" s="69">
        <v>43724</v>
      </c>
      <c r="B126" s="68" t="s">
        <v>309</v>
      </c>
      <c r="C126" s="19" t="s">
        <v>83</v>
      </c>
      <c r="D126" s="24" t="s">
        <v>88</v>
      </c>
      <c r="E126" s="24" t="s">
        <v>310</v>
      </c>
      <c r="G126" s="21" t="s">
        <v>82</v>
      </c>
      <c r="H126" s="66">
        <v>568.04</v>
      </c>
      <c r="I126" s="24">
        <v>94.67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>
        <v>473.37</v>
      </c>
      <c r="AU126" s="18"/>
      <c r="AV126" s="18"/>
      <c r="AW126" s="18"/>
      <c r="AX126" s="18"/>
      <c r="AY126" s="8">
        <f t="shared" si="5"/>
        <v>568.04</v>
      </c>
      <c r="AZ126" s="4">
        <f t="shared" si="4"/>
        <v>0</v>
      </c>
    </row>
    <row r="127" spans="1:52">
      <c r="A127" s="11">
        <v>43732</v>
      </c>
      <c r="B127" s="70" t="s">
        <v>311</v>
      </c>
      <c r="C127" s="75"/>
      <c r="D127" s="36" t="s">
        <v>95</v>
      </c>
      <c r="E127" s="36" t="s">
        <v>302</v>
      </c>
      <c r="G127" s="21" t="s">
        <v>82</v>
      </c>
      <c r="H127" s="66">
        <v>639.35</v>
      </c>
      <c r="I127" s="24"/>
      <c r="J127" s="18">
        <f>H127</f>
        <v>639.35</v>
      </c>
      <c r="K127" s="18"/>
      <c r="L127" s="18"/>
      <c r="M127" s="18"/>
      <c r="N127" s="23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8">
        <f t="shared" si="5"/>
        <v>639.35</v>
      </c>
      <c r="AZ127" s="4">
        <f t="shared" si="4"/>
        <v>0</v>
      </c>
    </row>
    <row r="128" spans="1:52">
      <c r="A128" s="11">
        <v>43732</v>
      </c>
      <c r="B128" s="70" t="s">
        <v>312</v>
      </c>
      <c r="C128" s="64" t="s">
        <v>313</v>
      </c>
      <c r="D128" s="20" t="s">
        <v>97</v>
      </c>
      <c r="E128" s="24" t="s">
        <v>314</v>
      </c>
      <c r="G128" s="21" t="s">
        <v>82</v>
      </c>
      <c r="H128" s="16">
        <v>45</v>
      </c>
      <c r="I128" s="26"/>
      <c r="J128" s="18"/>
      <c r="K128" s="18"/>
      <c r="L128" s="18"/>
      <c r="M128" s="18"/>
      <c r="N128" s="18"/>
      <c r="O128" s="18"/>
      <c r="P128" s="18"/>
      <c r="Q128" s="18"/>
      <c r="R128" s="18"/>
      <c r="S128" s="18">
        <v>45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8">
        <f t="shared" si="5"/>
        <v>45</v>
      </c>
      <c r="AZ128" s="4">
        <f t="shared" si="4"/>
        <v>0</v>
      </c>
    </row>
    <row r="129" spans="1:52">
      <c r="A129" s="11">
        <v>43732</v>
      </c>
      <c r="B129" s="70" t="s">
        <v>315</v>
      </c>
      <c r="C129" s="33" t="s">
        <v>316</v>
      </c>
      <c r="D129" s="24" t="s">
        <v>100</v>
      </c>
      <c r="E129" s="36" t="s">
        <v>317</v>
      </c>
      <c r="G129" s="21" t="s">
        <v>82</v>
      </c>
      <c r="H129" s="66">
        <v>168.34</v>
      </c>
      <c r="I129" s="24"/>
      <c r="J129" s="18"/>
      <c r="K129" s="18"/>
      <c r="L129" s="18"/>
      <c r="M129" s="18"/>
      <c r="N129" s="18"/>
      <c r="O129" s="18"/>
      <c r="P129" s="18"/>
      <c r="Q129" s="18"/>
      <c r="R129" s="18">
        <f>41.67+41.67</f>
        <v>83.34</v>
      </c>
      <c r="S129" s="18">
        <v>85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8">
        <f t="shared" si="5"/>
        <v>168.34</v>
      </c>
      <c r="AZ129" s="4">
        <f t="shared" si="4"/>
        <v>0</v>
      </c>
    </row>
    <row r="130" spans="1:52">
      <c r="A130" s="11">
        <v>43732</v>
      </c>
      <c r="B130" s="70" t="s">
        <v>318</v>
      </c>
      <c r="C130" s="4"/>
      <c r="D130" s="24" t="s">
        <v>103</v>
      </c>
      <c r="E130" s="24" t="s">
        <v>319</v>
      </c>
      <c r="G130" s="21" t="s">
        <v>82</v>
      </c>
      <c r="H130" s="16">
        <v>673.99</v>
      </c>
      <c r="I130" s="26">
        <v>112.33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>
        <v>192.78</v>
      </c>
      <c r="AB130" s="18">
        <f>23.51+23.51</f>
        <v>47.02</v>
      </c>
      <c r="AC130" s="18">
        <f>23.51+108.14</f>
        <v>131.65</v>
      </c>
      <c r="AD130" s="18">
        <v>147.16</v>
      </c>
      <c r="AE130" s="18">
        <v>43.05</v>
      </c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8">
        <f t="shared" si="5"/>
        <v>673.9899999999999</v>
      </c>
      <c r="AZ130" s="4">
        <f t="shared" si="4"/>
        <v>0</v>
      </c>
    </row>
    <row r="131" spans="1:52">
      <c r="A131" s="11">
        <v>43732</v>
      </c>
      <c r="B131" s="70" t="s">
        <v>320</v>
      </c>
      <c r="C131" s="19"/>
      <c r="D131" s="24" t="s">
        <v>80</v>
      </c>
      <c r="E131" s="24" t="s">
        <v>321</v>
      </c>
      <c r="G131" s="21" t="s">
        <v>82</v>
      </c>
      <c r="H131" s="16">
        <v>67.11</v>
      </c>
      <c r="I131" s="26">
        <v>5.0999999999999996</v>
      </c>
      <c r="J131" s="18"/>
      <c r="K131" s="18"/>
      <c r="L131" s="18"/>
      <c r="M131" s="18">
        <f>13.5+6.3+4.5</f>
        <v>24.3</v>
      </c>
      <c r="N131" s="18"/>
      <c r="O131" s="18">
        <v>37.71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8">
        <f t="shared" si="5"/>
        <v>67.11</v>
      </c>
      <c r="AZ131" s="4">
        <f t="shared" si="4"/>
        <v>0</v>
      </c>
    </row>
    <row r="132" spans="1:52">
      <c r="A132" s="11">
        <v>43732</v>
      </c>
      <c r="B132" s="70" t="s">
        <v>322</v>
      </c>
      <c r="C132" s="19"/>
      <c r="D132" s="24" t="s">
        <v>95</v>
      </c>
      <c r="E132" s="24" t="s">
        <v>321</v>
      </c>
      <c r="G132" s="21" t="s">
        <v>82</v>
      </c>
      <c r="H132" s="16">
        <v>161.63</v>
      </c>
      <c r="I132" s="26">
        <f>23.71-8.95</f>
        <v>14.760000000000002</v>
      </c>
      <c r="J132" s="18"/>
      <c r="K132" s="18"/>
      <c r="L132" s="18"/>
      <c r="M132" s="18">
        <f>6.3+6.3</f>
        <v>12.6</v>
      </c>
      <c r="N132" s="18"/>
      <c r="O132" s="18"/>
      <c r="P132" s="18"/>
      <c r="Q132" s="18"/>
      <c r="R132" s="18">
        <f>6.75+38.86+8.95</f>
        <v>54.56</v>
      </c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>
        <f>34.96+44.75</f>
        <v>79.710000000000008</v>
      </c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8">
        <f t="shared" si="5"/>
        <v>161.63</v>
      </c>
      <c r="AZ132" s="4">
        <f t="shared" si="4"/>
        <v>0</v>
      </c>
    </row>
    <row r="133" spans="1:52">
      <c r="A133" s="11">
        <v>43732</v>
      </c>
      <c r="B133" s="70" t="s">
        <v>323</v>
      </c>
      <c r="C133" s="19"/>
      <c r="D133" s="36" t="s">
        <v>203</v>
      </c>
      <c r="E133" s="36" t="s">
        <v>324</v>
      </c>
      <c r="G133" s="21" t="s">
        <v>82</v>
      </c>
      <c r="H133" s="28">
        <v>60</v>
      </c>
      <c r="I133" s="17">
        <v>10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>
        <v>50</v>
      </c>
      <c r="AU133" s="18"/>
      <c r="AV133" s="18"/>
      <c r="AW133" s="18"/>
      <c r="AX133" s="18"/>
      <c r="AY133" s="8">
        <f t="shared" si="5"/>
        <v>60</v>
      </c>
      <c r="AZ133" s="4">
        <f t="shared" ref="AZ133:AZ196" si="6">AY133-H133</f>
        <v>0</v>
      </c>
    </row>
    <row r="134" spans="1:52">
      <c r="A134" s="11">
        <v>43732</v>
      </c>
      <c r="B134" s="70" t="s">
        <v>325</v>
      </c>
      <c r="C134" s="31"/>
      <c r="D134" s="24" t="s">
        <v>326</v>
      </c>
      <c r="E134" s="24" t="s">
        <v>327</v>
      </c>
      <c r="G134" s="21" t="s">
        <v>82</v>
      </c>
      <c r="H134" s="66">
        <v>12</v>
      </c>
      <c r="I134" s="24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>
        <v>12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8">
        <f t="shared" ref="AY134:AY197" si="7">SUM(I134:AX134)</f>
        <v>12</v>
      </c>
      <c r="AZ134" s="4">
        <f t="shared" si="6"/>
        <v>0</v>
      </c>
    </row>
    <row r="135" spans="1:52">
      <c r="A135" s="11">
        <v>43732</v>
      </c>
      <c r="B135" s="70" t="s">
        <v>328</v>
      </c>
      <c r="C135" s="31"/>
      <c r="D135" s="24" t="s">
        <v>329</v>
      </c>
      <c r="E135" s="24" t="s">
        <v>330</v>
      </c>
      <c r="G135" s="21" t="s">
        <v>82</v>
      </c>
      <c r="H135" s="66">
        <v>576</v>
      </c>
      <c r="I135" s="24">
        <v>96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76"/>
      <c r="AI135" s="18"/>
      <c r="AJ135" s="18"/>
      <c r="AK135" s="18"/>
      <c r="AL135" s="18">
        <v>480</v>
      </c>
      <c r="AM135" s="18"/>
      <c r="AN135" s="18"/>
      <c r="AO135" s="18"/>
      <c r="AP135" s="18"/>
      <c r="AQ135" s="18"/>
      <c r="AR135" s="77"/>
      <c r="AS135" s="77"/>
      <c r="AT135" s="18"/>
      <c r="AU135" s="18"/>
      <c r="AV135" s="18"/>
      <c r="AW135" s="18"/>
      <c r="AX135" s="18"/>
      <c r="AY135" s="8">
        <f t="shared" si="7"/>
        <v>576</v>
      </c>
      <c r="AZ135" s="4">
        <f t="shared" si="6"/>
        <v>0</v>
      </c>
    </row>
    <row r="136" spans="1:52">
      <c r="A136" s="11">
        <v>43732</v>
      </c>
      <c r="B136" s="70" t="s">
        <v>331</v>
      </c>
      <c r="C136" s="31"/>
      <c r="D136" s="24" t="s">
        <v>332</v>
      </c>
      <c r="E136" s="24" t="s">
        <v>333</v>
      </c>
      <c r="G136" s="21" t="s">
        <v>82</v>
      </c>
      <c r="H136" s="66">
        <v>108</v>
      </c>
      <c r="I136" s="24">
        <v>18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76"/>
      <c r="AI136" s="18"/>
      <c r="AJ136" s="18">
        <v>90</v>
      </c>
      <c r="AK136" s="18"/>
      <c r="AL136" s="18"/>
      <c r="AM136" s="18"/>
      <c r="AN136" s="18"/>
      <c r="AO136" s="18"/>
      <c r="AP136" s="18"/>
      <c r="AQ136" s="18"/>
      <c r="AR136" s="77"/>
      <c r="AS136" s="77"/>
      <c r="AT136" s="18"/>
      <c r="AU136" s="18"/>
      <c r="AV136" s="18"/>
      <c r="AW136" s="18"/>
      <c r="AX136" s="18"/>
      <c r="AY136" s="8">
        <f t="shared" si="7"/>
        <v>108</v>
      </c>
      <c r="AZ136" s="4">
        <f t="shared" si="6"/>
        <v>0</v>
      </c>
    </row>
    <row r="137" spans="1:52">
      <c r="A137" s="11">
        <v>43732</v>
      </c>
      <c r="B137" s="70" t="s">
        <v>334</v>
      </c>
      <c r="C137" s="31"/>
      <c r="D137" s="24" t="s">
        <v>305</v>
      </c>
      <c r="E137" s="24" t="s">
        <v>335</v>
      </c>
      <c r="G137" s="21" t="s">
        <v>82</v>
      </c>
      <c r="H137" s="66">
        <v>1005</v>
      </c>
      <c r="I137" s="24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74">
        <v>1005</v>
      </c>
      <c r="AV137" s="18"/>
      <c r="AW137" s="18"/>
      <c r="AX137" s="18"/>
      <c r="AY137" s="8">
        <f t="shared" si="7"/>
        <v>1005</v>
      </c>
      <c r="AZ137" s="4">
        <f t="shared" si="6"/>
        <v>0</v>
      </c>
    </row>
    <row r="138" spans="1:52">
      <c r="A138" s="11">
        <v>43732</v>
      </c>
      <c r="B138" s="70" t="s">
        <v>336</v>
      </c>
      <c r="C138" s="31"/>
      <c r="D138" s="24" t="s">
        <v>295</v>
      </c>
      <c r="E138" s="24" t="s">
        <v>337</v>
      </c>
      <c r="G138" s="78" t="s">
        <v>82</v>
      </c>
      <c r="H138" s="79">
        <v>297.5</v>
      </c>
      <c r="I138" s="76"/>
      <c r="J138" s="80"/>
      <c r="K138" s="80"/>
      <c r="L138" s="80"/>
      <c r="M138" s="80"/>
      <c r="N138" s="80"/>
      <c r="O138" s="80"/>
      <c r="P138" s="76"/>
      <c r="Q138" s="76"/>
      <c r="R138" s="80"/>
      <c r="S138" s="80"/>
      <c r="T138" s="18"/>
      <c r="U138" s="76"/>
      <c r="V138" s="80"/>
      <c r="W138" s="80"/>
      <c r="X138" s="80"/>
      <c r="Y138" s="76">
        <v>297.5</v>
      </c>
      <c r="Z138" s="80"/>
      <c r="AA138" s="80"/>
      <c r="AB138" s="80"/>
      <c r="AC138" s="80"/>
      <c r="AD138" s="80"/>
      <c r="AE138" s="80"/>
      <c r="AG138" s="80"/>
      <c r="AH138" s="76"/>
      <c r="AI138" s="80"/>
      <c r="AJ138" s="80"/>
      <c r="AK138" s="80"/>
      <c r="AL138" s="80"/>
      <c r="AM138" s="80"/>
      <c r="AN138" s="80"/>
      <c r="AO138" s="80"/>
      <c r="AP138" s="80"/>
      <c r="AQ138" s="76"/>
      <c r="AR138" s="80"/>
      <c r="AS138" s="80"/>
      <c r="AT138" s="80"/>
      <c r="AU138" s="80"/>
      <c r="AV138" s="80"/>
      <c r="AW138" s="80"/>
      <c r="AX138" s="80"/>
      <c r="AY138" s="8">
        <f t="shared" si="7"/>
        <v>297.5</v>
      </c>
      <c r="AZ138" s="4">
        <f t="shared" si="6"/>
        <v>0</v>
      </c>
    </row>
    <row r="139" spans="1:52">
      <c r="A139" s="11">
        <v>43732</v>
      </c>
      <c r="B139" s="70" t="s">
        <v>338</v>
      </c>
      <c r="C139" s="33" t="s">
        <v>339</v>
      </c>
      <c r="D139" s="24" t="s">
        <v>340</v>
      </c>
      <c r="E139" s="24" t="s">
        <v>341</v>
      </c>
      <c r="G139" s="21" t="s">
        <v>82</v>
      </c>
      <c r="H139" s="66">
        <v>1165.92</v>
      </c>
      <c r="I139" s="24">
        <f>156.32+38</f>
        <v>194.32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74">
        <v>971.6</v>
      </c>
      <c r="AV139" s="18"/>
      <c r="AW139" s="18"/>
      <c r="AX139" s="18"/>
      <c r="AY139" s="8">
        <f t="shared" si="7"/>
        <v>1165.92</v>
      </c>
      <c r="AZ139" s="4">
        <f t="shared" si="6"/>
        <v>0</v>
      </c>
    </row>
    <row r="140" spans="1:52">
      <c r="A140" s="11">
        <v>43732</v>
      </c>
      <c r="B140" s="70" t="s">
        <v>342</v>
      </c>
      <c r="C140" s="31"/>
      <c r="D140" s="24" t="s">
        <v>343</v>
      </c>
      <c r="E140" s="24" t="s">
        <v>344</v>
      </c>
      <c r="G140" s="21" t="s">
        <v>82</v>
      </c>
      <c r="H140" s="66">
        <v>2580</v>
      </c>
      <c r="I140" s="24">
        <v>430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V140" s="18">
        <v>2150</v>
      </c>
      <c r="AW140" s="18"/>
      <c r="AX140" s="18"/>
      <c r="AY140" s="8">
        <f t="shared" si="7"/>
        <v>2580</v>
      </c>
      <c r="AZ140" s="4">
        <f t="shared" si="6"/>
        <v>0</v>
      </c>
    </row>
    <row r="141" spans="1:52">
      <c r="A141" s="11">
        <v>43733</v>
      </c>
      <c r="B141" s="70" t="s">
        <v>345</v>
      </c>
      <c r="C141" s="31" t="s">
        <v>83</v>
      </c>
      <c r="D141" s="36" t="s">
        <v>175</v>
      </c>
      <c r="E141" s="35"/>
      <c r="G141" s="21" t="s">
        <v>82</v>
      </c>
      <c r="H141" s="66">
        <v>283.97000000000003</v>
      </c>
      <c r="I141" s="24">
        <v>27.18</v>
      </c>
      <c r="J141" s="18"/>
      <c r="K141" s="18"/>
      <c r="L141" s="18"/>
      <c r="M141" s="18"/>
      <c r="N141" s="18"/>
      <c r="O141" s="18"/>
      <c r="P141" s="18"/>
      <c r="Q141" s="18"/>
      <c r="R141" s="18">
        <f>6+6+6+6+6+13.8+70.59+4.72+2.25-0.16-0.19-0.11+15.9</f>
        <v>136.80000000000001</v>
      </c>
      <c r="S141" s="18"/>
      <c r="T141" s="18"/>
      <c r="U141" s="18"/>
      <c r="V141" s="18"/>
      <c r="W141" s="18"/>
      <c r="X141" s="18"/>
      <c r="Y141" s="18">
        <v>119.99</v>
      </c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8">
        <f t="shared" si="7"/>
        <v>283.97000000000003</v>
      </c>
      <c r="AZ141" s="4">
        <f t="shared" si="6"/>
        <v>0</v>
      </c>
    </row>
    <row r="142" spans="1:52">
      <c r="A142" s="11">
        <v>43735</v>
      </c>
      <c r="B142" s="70" t="s">
        <v>346</v>
      </c>
      <c r="C142" s="31"/>
      <c r="D142" s="24" t="s">
        <v>209</v>
      </c>
      <c r="E142" s="24" t="s">
        <v>347</v>
      </c>
      <c r="G142" s="21" t="s">
        <v>82</v>
      </c>
      <c r="H142" s="66">
        <v>10000</v>
      </c>
      <c r="I142" s="24">
        <v>2085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>
        <v>7915</v>
      </c>
      <c r="AY142" s="8">
        <f t="shared" si="7"/>
        <v>10000</v>
      </c>
      <c r="AZ142" s="4">
        <f t="shared" si="6"/>
        <v>0</v>
      </c>
    </row>
    <row r="143" spans="1:52">
      <c r="A143" s="11">
        <v>43738</v>
      </c>
      <c r="B143" s="70" t="s">
        <v>346</v>
      </c>
      <c r="C143" s="31"/>
      <c r="D143" s="24" t="s">
        <v>209</v>
      </c>
      <c r="E143" s="24" t="s">
        <v>347</v>
      </c>
      <c r="G143" s="21" t="s">
        <v>82</v>
      </c>
      <c r="H143" s="66">
        <v>2510</v>
      </c>
      <c r="I143" s="24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>
        <v>2510</v>
      </c>
      <c r="AY143" s="8">
        <f t="shared" si="7"/>
        <v>2510</v>
      </c>
      <c r="AZ143" s="4">
        <f t="shared" si="6"/>
        <v>0</v>
      </c>
    </row>
    <row r="144" spans="1:52">
      <c r="A144" s="11">
        <v>43738</v>
      </c>
      <c r="B144" s="19" t="s">
        <v>348</v>
      </c>
      <c r="C144" s="31"/>
      <c r="D144" s="20" t="s">
        <v>46</v>
      </c>
      <c r="E144" s="20" t="s">
        <v>349</v>
      </c>
      <c r="G144" s="21" t="s">
        <v>82</v>
      </c>
      <c r="H144" s="22">
        <v>791.35</v>
      </c>
      <c r="I144" s="17"/>
      <c r="J144" s="18"/>
      <c r="K144" s="18">
        <f>H144</f>
        <v>791.35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8">
        <f t="shared" si="7"/>
        <v>791.35</v>
      </c>
      <c r="AZ144" s="4">
        <f t="shared" si="6"/>
        <v>0</v>
      </c>
    </row>
    <row r="145" spans="1:52">
      <c r="A145" s="11">
        <v>43738</v>
      </c>
      <c r="B145" s="68" t="s">
        <v>350</v>
      </c>
      <c r="C145" s="19"/>
      <c r="D145" s="20" t="s">
        <v>117</v>
      </c>
      <c r="E145" s="20" t="s">
        <v>300</v>
      </c>
      <c r="G145" s="21" t="s">
        <v>82</v>
      </c>
      <c r="H145" s="22">
        <v>970.81</v>
      </c>
      <c r="I145" s="24"/>
      <c r="J145" s="18"/>
      <c r="K145" s="18"/>
      <c r="L145" s="18">
        <f>H145</f>
        <v>970.81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8">
        <f t="shared" si="7"/>
        <v>970.81</v>
      </c>
      <c r="AZ145" s="4">
        <f t="shared" si="6"/>
        <v>0</v>
      </c>
    </row>
    <row r="146" spans="1:52" s="51" customFormat="1">
      <c r="A146" s="47">
        <v>43739</v>
      </c>
      <c r="B146" s="60" t="s">
        <v>351</v>
      </c>
      <c r="C146" s="60" t="s">
        <v>79</v>
      </c>
      <c r="D146" s="61" t="s">
        <v>80</v>
      </c>
      <c r="E146" s="61" t="s">
        <v>352</v>
      </c>
      <c r="G146" s="62" t="s">
        <v>353</v>
      </c>
      <c r="H146" s="63">
        <v>1967.67</v>
      </c>
      <c r="I146" s="54"/>
      <c r="J146" s="55">
        <f>H146</f>
        <v>1967.67</v>
      </c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6">
        <f t="shared" si="7"/>
        <v>1967.67</v>
      </c>
      <c r="AZ146" s="51">
        <f t="shared" si="6"/>
        <v>0</v>
      </c>
    </row>
    <row r="147" spans="1:52">
      <c r="A147" s="11">
        <v>43742</v>
      </c>
      <c r="B147" s="12" t="s">
        <v>354</v>
      </c>
      <c r="C147" s="19" t="s">
        <v>83</v>
      </c>
      <c r="D147" s="24" t="s">
        <v>355</v>
      </c>
      <c r="E147" s="24" t="s">
        <v>356</v>
      </c>
      <c r="G147" s="21" t="s">
        <v>353</v>
      </c>
      <c r="H147" s="25">
        <v>49.19</v>
      </c>
      <c r="I147" s="26">
        <v>8.1999999999999993</v>
      </c>
      <c r="J147" s="18"/>
      <c r="K147" s="18"/>
      <c r="L147" s="18"/>
      <c r="M147" s="18"/>
      <c r="N147" s="18">
        <v>40.99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46">
        <f t="shared" si="7"/>
        <v>49.19</v>
      </c>
      <c r="AZ147" s="4">
        <f t="shared" si="6"/>
        <v>0</v>
      </c>
    </row>
    <row r="148" spans="1:52" s="41" customFormat="1">
      <c r="A148" s="38">
        <v>43745</v>
      </c>
      <c r="B148" s="57" t="s">
        <v>357</v>
      </c>
      <c r="C148" s="58" t="s">
        <v>83</v>
      </c>
      <c r="D148" s="40" t="s">
        <v>84</v>
      </c>
      <c r="E148" s="40" t="s">
        <v>85</v>
      </c>
      <c r="G148" s="42" t="s">
        <v>353</v>
      </c>
      <c r="H148" s="43">
        <v>7</v>
      </c>
      <c r="I148" s="44"/>
      <c r="J148" s="45"/>
      <c r="K148" s="45"/>
      <c r="L148" s="45"/>
      <c r="M148" s="45"/>
      <c r="N148" s="45"/>
      <c r="O148" s="45"/>
      <c r="P148" s="45"/>
      <c r="Q148" s="45">
        <v>7</v>
      </c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6">
        <f t="shared" si="7"/>
        <v>7</v>
      </c>
      <c r="AZ148" s="41">
        <f t="shared" si="6"/>
        <v>0</v>
      </c>
    </row>
    <row r="149" spans="1:52">
      <c r="A149" s="11">
        <v>43752</v>
      </c>
      <c r="B149" s="12" t="s">
        <v>358</v>
      </c>
      <c r="C149" s="19" t="s">
        <v>83</v>
      </c>
      <c r="D149" s="24" t="s">
        <v>86</v>
      </c>
      <c r="E149" s="24" t="s">
        <v>359</v>
      </c>
      <c r="G149" s="21" t="s">
        <v>353</v>
      </c>
      <c r="H149" s="25">
        <v>131.78</v>
      </c>
      <c r="I149" s="26">
        <v>21.96</v>
      </c>
      <c r="J149" s="18"/>
      <c r="K149" s="18"/>
      <c r="L149" s="18"/>
      <c r="M149" s="18"/>
      <c r="N149" s="18">
        <v>109.82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46">
        <f t="shared" si="7"/>
        <v>131.78</v>
      </c>
      <c r="AZ149" s="4">
        <f t="shared" si="6"/>
        <v>0</v>
      </c>
    </row>
    <row r="150" spans="1:52">
      <c r="A150" s="69">
        <v>43754</v>
      </c>
      <c r="B150" s="68" t="s">
        <v>360</v>
      </c>
      <c r="C150" s="19" t="s">
        <v>83</v>
      </c>
      <c r="D150" s="24" t="s">
        <v>88</v>
      </c>
      <c r="E150" s="24" t="s">
        <v>361</v>
      </c>
      <c r="G150" s="21" t="s">
        <v>353</v>
      </c>
      <c r="H150" s="66">
        <v>549.73</v>
      </c>
      <c r="I150" s="24">
        <v>91.62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>
        <v>458.11</v>
      </c>
      <c r="AU150" s="18"/>
      <c r="AV150" s="18"/>
      <c r="AW150" s="18"/>
      <c r="AX150" s="18"/>
      <c r="AY150" s="8">
        <f t="shared" si="7"/>
        <v>549.73</v>
      </c>
      <c r="AZ150" s="4">
        <f t="shared" si="6"/>
        <v>0</v>
      </c>
    </row>
    <row r="151" spans="1:52">
      <c r="A151" s="11">
        <v>43762</v>
      </c>
      <c r="B151" s="70" t="s">
        <v>362</v>
      </c>
      <c r="C151" s="31" t="s">
        <v>83</v>
      </c>
      <c r="D151" s="36" t="s">
        <v>175</v>
      </c>
      <c r="E151" s="35"/>
      <c r="G151" s="21" t="s">
        <v>353</v>
      </c>
      <c r="H151" s="66">
        <v>29.99</v>
      </c>
      <c r="I151" s="24">
        <v>3.99</v>
      </c>
      <c r="J151" s="18"/>
      <c r="K151" s="18"/>
      <c r="L151" s="18"/>
      <c r="M151" s="18"/>
      <c r="N151" s="18"/>
      <c r="O151" s="18"/>
      <c r="P151" s="18"/>
      <c r="Q151" s="18"/>
      <c r="R151" s="18">
        <v>26</v>
      </c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8">
        <f t="shared" si="7"/>
        <v>29.990000000000002</v>
      </c>
      <c r="AZ151" s="4">
        <f t="shared" si="6"/>
        <v>0</v>
      </c>
    </row>
    <row r="152" spans="1:52">
      <c r="A152" s="11">
        <v>43762</v>
      </c>
      <c r="B152" s="70" t="s">
        <v>363</v>
      </c>
      <c r="C152" s="31" t="s">
        <v>83</v>
      </c>
      <c r="D152" s="24" t="s">
        <v>144</v>
      </c>
      <c r="E152" s="24" t="s">
        <v>23</v>
      </c>
      <c r="G152" s="21" t="s">
        <v>353</v>
      </c>
      <c r="H152" s="66">
        <v>14.9</v>
      </c>
      <c r="I152" s="24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>
        <v>14.9</v>
      </c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8">
        <f t="shared" si="7"/>
        <v>14.9</v>
      </c>
      <c r="AZ152" s="4">
        <f t="shared" si="6"/>
        <v>0</v>
      </c>
    </row>
    <row r="153" spans="1:52" s="41" customFormat="1">
      <c r="A153" s="38">
        <v>43767</v>
      </c>
      <c r="B153" s="57"/>
      <c r="C153" s="58" t="s">
        <v>83</v>
      </c>
      <c r="D153" s="40" t="s">
        <v>84</v>
      </c>
      <c r="E153" s="40" t="s">
        <v>85</v>
      </c>
      <c r="G153" s="42" t="s">
        <v>353</v>
      </c>
      <c r="H153" s="43">
        <v>7</v>
      </c>
      <c r="I153" s="44"/>
      <c r="J153" s="45"/>
      <c r="K153" s="45"/>
      <c r="L153" s="45"/>
      <c r="M153" s="45"/>
      <c r="N153" s="45"/>
      <c r="O153" s="45"/>
      <c r="P153" s="45"/>
      <c r="Q153" s="45">
        <v>7</v>
      </c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6">
        <f t="shared" si="7"/>
        <v>7</v>
      </c>
      <c r="AZ153" s="41">
        <f t="shared" si="6"/>
        <v>0</v>
      </c>
    </row>
    <row r="154" spans="1:52">
      <c r="A154" s="11">
        <v>43767</v>
      </c>
      <c r="B154" s="70" t="s">
        <v>364</v>
      </c>
      <c r="C154" s="31" t="s">
        <v>83</v>
      </c>
      <c r="D154" s="24" t="s">
        <v>144</v>
      </c>
      <c r="E154" s="24" t="s">
        <v>66</v>
      </c>
      <c r="G154" s="21" t="s">
        <v>353</v>
      </c>
      <c r="H154" s="81">
        <v>172.06</v>
      </c>
      <c r="I154" s="24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>
        <v>172.06</v>
      </c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8">
        <f t="shared" si="7"/>
        <v>172.06</v>
      </c>
      <c r="AZ154" s="4">
        <f t="shared" si="6"/>
        <v>0</v>
      </c>
    </row>
    <row r="155" spans="1:52">
      <c r="A155" s="11">
        <v>43769</v>
      </c>
      <c r="B155" s="70" t="s">
        <v>365</v>
      </c>
      <c r="C155" s="75"/>
      <c r="D155" s="36" t="s">
        <v>95</v>
      </c>
      <c r="E155" s="36" t="s">
        <v>352</v>
      </c>
      <c r="G155" s="21" t="s">
        <v>353</v>
      </c>
      <c r="H155" s="66">
        <v>651.99</v>
      </c>
      <c r="I155" s="24"/>
      <c r="J155" s="18">
        <f>H155</f>
        <v>651.99</v>
      </c>
      <c r="K155" s="18"/>
      <c r="L155" s="18"/>
      <c r="M155" s="18"/>
      <c r="N155" s="23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8">
        <f t="shared" si="7"/>
        <v>651.99</v>
      </c>
      <c r="AZ155" s="4">
        <f t="shared" si="6"/>
        <v>0</v>
      </c>
    </row>
    <row r="156" spans="1:52">
      <c r="A156" s="11">
        <v>43769</v>
      </c>
      <c r="B156" s="70" t="s">
        <v>366</v>
      </c>
      <c r="C156" s="64"/>
      <c r="D156" s="20" t="s">
        <v>97</v>
      </c>
      <c r="E156" s="24" t="s">
        <v>367</v>
      </c>
      <c r="G156" s="21" t="s">
        <v>353</v>
      </c>
      <c r="H156" s="16">
        <v>22.5</v>
      </c>
      <c r="I156" s="26"/>
      <c r="J156" s="18"/>
      <c r="K156" s="18"/>
      <c r="L156" s="18"/>
      <c r="M156" s="18"/>
      <c r="N156" s="18"/>
      <c r="O156" s="18"/>
      <c r="P156" s="18"/>
      <c r="Q156" s="18"/>
      <c r="R156" s="18"/>
      <c r="S156" s="18">
        <v>22.5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8">
        <f t="shared" si="7"/>
        <v>22.5</v>
      </c>
      <c r="AZ156" s="4">
        <f t="shared" si="6"/>
        <v>0</v>
      </c>
    </row>
    <row r="157" spans="1:52">
      <c r="A157" s="11">
        <v>43769</v>
      </c>
      <c r="B157" s="70" t="s">
        <v>368</v>
      </c>
      <c r="C157" s="33"/>
      <c r="D157" s="24" t="s">
        <v>100</v>
      </c>
      <c r="E157" s="36" t="s">
        <v>369</v>
      </c>
      <c r="G157" s="21" t="s">
        <v>353</v>
      </c>
      <c r="H157" s="66">
        <v>61.67</v>
      </c>
      <c r="I157" s="24"/>
      <c r="J157" s="18"/>
      <c r="K157" s="18"/>
      <c r="L157" s="18"/>
      <c r="M157" s="18"/>
      <c r="N157" s="18"/>
      <c r="O157" s="18"/>
      <c r="P157" s="18"/>
      <c r="Q157" s="18"/>
      <c r="R157" s="18">
        <f>41.67</f>
        <v>41.67</v>
      </c>
      <c r="S157" s="18">
        <v>20</v>
      </c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8">
        <f t="shared" si="7"/>
        <v>61.67</v>
      </c>
      <c r="AZ157" s="4">
        <f t="shared" si="6"/>
        <v>0</v>
      </c>
    </row>
    <row r="158" spans="1:52">
      <c r="A158" s="11">
        <v>43769</v>
      </c>
      <c r="B158" s="70" t="s">
        <v>370</v>
      </c>
      <c r="C158" s="4"/>
      <c r="D158" s="24" t="s">
        <v>103</v>
      </c>
      <c r="E158" s="24" t="s">
        <v>371</v>
      </c>
      <c r="G158" s="21" t="s">
        <v>353</v>
      </c>
      <c r="H158" s="16">
        <v>673.99</v>
      </c>
      <c r="I158" s="26">
        <v>112.33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>
        <v>192.78</v>
      </c>
      <c r="AB158" s="18">
        <f>23.51+23.51</f>
        <v>47.02</v>
      </c>
      <c r="AC158" s="18">
        <f>23.51+108.14</f>
        <v>131.65</v>
      </c>
      <c r="AD158" s="18">
        <v>147.16</v>
      </c>
      <c r="AE158" s="18">
        <v>43.05</v>
      </c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8">
        <f t="shared" si="7"/>
        <v>673.9899999999999</v>
      </c>
      <c r="AZ158" s="4">
        <f t="shared" si="6"/>
        <v>0</v>
      </c>
    </row>
    <row r="159" spans="1:52">
      <c r="A159" s="11">
        <v>43769</v>
      </c>
      <c r="B159" s="70" t="s">
        <v>372</v>
      </c>
      <c r="C159" s="33" t="s">
        <v>373</v>
      </c>
      <c r="D159" s="24" t="s">
        <v>106</v>
      </c>
      <c r="E159" s="24" t="s">
        <v>374</v>
      </c>
      <c r="G159" s="21" t="s">
        <v>353</v>
      </c>
      <c r="H159" s="66">
        <v>1123.1199999999999</v>
      </c>
      <c r="I159" s="24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>
        <f>52.06+105</f>
        <v>157.06</v>
      </c>
      <c r="Z159" s="18">
        <f>441*2</f>
        <v>882</v>
      </c>
      <c r="AA159" s="18"/>
      <c r="AB159" s="18"/>
      <c r="AC159" s="18"/>
      <c r="AD159" s="18"/>
      <c r="AE159" s="18"/>
      <c r="AF159" s="18">
        <v>12</v>
      </c>
      <c r="AG159" s="18"/>
      <c r="AH159" s="18"/>
      <c r="AI159" s="18">
        <f>20+52.06</f>
        <v>72.06</v>
      </c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8">
        <f t="shared" si="7"/>
        <v>1123.1199999999999</v>
      </c>
      <c r="AZ159" s="4">
        <f t="shared" si="6"/>
        <v>0</v>
      </c>
    </row>
    <row r="160" spans="1:52">
      <c r="A160" s="11">
        <v>43769</v>
      </c>
      <c r="B160" s="70" t="s">
        <v>375</v>
      </c>
      <c r="C160" s="19"/>
      <c r="D160" s="24" t="s">
        <v>80</v>
      </c>
      <c r="E160" s="24" t="s">
        <v>376</v>
      </c>
      <c r="G160" s="21" t="s">
        <v>353</v>
      </c>
      <c r="H160" s="16">
        <v>75.84</v>
      </c>
      <c r="I160" s="26">
        <v>3.86</v>
      </c>
      <c r="J160" s="18"/>
      <c r="K160" s="18"/>
      <c r="L160" s="18"/>
      <c r="M160" s="18">
        <v>40.5</v>
      </c>
      <c r="N160" s="18"/>
      <c r="O160" s="18">
        <v>31.48</v>
      </c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8">
        <f t="shared" si="7"/>
        <v>75.84</v>
      </c>
      <c r="AZ160" s="4">
        <f t="shared" si="6"/>
        <v>0</v>
      </c>
    </row>
    <row r="161" spans="1:52">
      <c r="A161" s="11">
        <v>43769</v>
      </c>
      <c r="B161" s="70" t="s">
        <v>377</v>
      </c>
      <c r="C161" s="19"/>
      <c r="D161" s="24" t="s">
        <v>95</v>
      </c>
      <c r="E161" s="24" t="s">
        <v>376</v>
      </c>
      <c r="G161" s="21" t="s">
        <v>353</v>
      </c>
      <c r="H161" s="16">
        <v>68.84</v>
      </c>
      <c r="I161" s="26">
        <v>0.83</v>
      </c>
      <c r="J161" s="18"/>
      <c r="K161" s="18"/>
      <c r="L161" s="18"/>
      <c r="M161" s="18">
        <f>6.3+6.3</f>
        <v>12.6</v>
      </c>
      <c r="N161" s="18"/>
      <c r="O161" s="18"/>
      <c r="P161" s="18"/>
      <c r="Q161" s="18"/>
      <c r="R161" s="18">
        <v>55.41</v>
      </c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8">
        <f t="shared" si="7"/>
        <v>68.84</v>
      </c>
      <c r="AZ161" s="4">
        <f t="shared" si="6"/>
        <v>0</v>
      </c>
    </row>
    <row r="162" spans="1:52">
      <c r="A162" s="11">
        <v>43769</v>
      </c>
      <c r="B162" s="70" t="s">
        <v>378</v>
      </c>
      <c r="C162" s="19"/>
      <c r="D162" s="36" t="s">
        <v>203</v>
      </c>
      <c r="E162" s="36" t="s">
        <v>379</v>
      </c>
      <c r="G162" s="21" t="s">
        <v>353</v>
      </c>
      <c r="H162" s="28">
        <v>60</v>
      </c>
      <c r="I162" s="17">
        <v>10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>
        <v>50</v>
      </c>
      <c r="AU162" s="18"/>
      <c r="AV162" s="18"/>
      <c r="AW162" s="18"/>
      <c r="AX162" s="18"/>
      <c r="AY162" s="8">
        <f t="shared" si="7"/>
        <v>60</v>
      </c>
      <c r="AZ162" s="4">
        <f t="shared" si="6"/>
        <v>0</v>
      </c>
    </row>
    <row r="163" spans="1:52">
      <c r="A163" s="11">
        <v>43769</v>
      </c>
      <c r="B163" s="70" t="s">
        <v>380</v>
      </c>
      <c r="C163" s="31"/>
      <c r="D163" s="24" t="s">
        <v>381</v>
      </c>
      <c r="E163" s="24" t="s">
        <v>382</v>
      </c>
      <c r="G163" s="21" t="s">
        <v>353</v>
      </c>
      <c r="H163" s="66">
        <v>175</v>
      </c>
      <c r="I163" s="26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>
        <v>175</v>
      </c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8">
        <f t="shared" si="7"/>
        <v>175</v>
      </c>
      <c r="AZ163" s="4">
        <f t="shared" si="6"/>
        <v>0</v>
      </c>
    </row>
    <row r="164" spans="1:52">
      <c r="A164" s="11">
        <v>43769</v>
      </c>
      <c r="B164" s="70" t="s">
        <v>383</v>
      </c>
      <c r="C164" s="31"/>
      <c r="D164" s="24" t="s">
        <v>126</v>
      </c>
      <c r="E164" s="24" t="s">
        <v>384</v>
      </c>
      <c r="G164" s="21" t="s">
        <v>353</v>
      </c>
      <c r="H164" s="81">
        <v>1068.52</v>
      </c>
      <c r="I164" s="24">
        <v>178.06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>
        <v>890.46</v>
      </c>
      <c r="AW164" s="18"/>
      <c r="AX164" s="18"/>
      <c r="AY164" s="8">
        <f t="shared" si="7"/>
        <v>1068.52</v>
      </c>
      <c r="AZ164" s="4">
        <f t="shared" si="6"/>
        <v>0</v>
      </c>
    </row>
    <row r="165" spans="1:52">
      <c r="A165" s="11">
        <v>43769</v>
      </c>
      <c r="B165" s="70" t="s">
        <v>385</v>
      </c>
      <c r="C165" s="31"/>
      <c r="D165" s="24" t="s">
        <v>142</v>
      </c>
      <c r="E165" s="24" t="s">
        <v>386</v>
      </c>
      <c r="G165" s="21" t="s">
        <v>353</v>
      </c>
      <c r="H165" s="81">
        <v>37.99</v>
      </c>
      <c r="I165" s="24">
        <v>6.33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>
        <v>31.66</v>
      </c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8">
        <f t="shared" si="7"/>
        <v>37.99</v>
      </c>
      <c r="AZ165" s="4">
        <f t="shared" si="6"/>
        <v>0</v>
      </c>
    </row>
    <row r="166" spans="1:52">
      <c r="A166" s="11">
        <v>43769</v>
      </c>
      <c r="B166" s="70" t="s">
        <v>387</v>
      </c>
      <c r="C166" s="31"/>
      <c r="D166" s="24" t="s">
        <v>388</v>
      </c>
      <c r="E166" s="24" t="s">
        <v>389</v>
      </c>
      <c r="G166" s="21" t="s">
        <v>353</v>
      </c>
      <c r="H166" s="81">
        <v>480</v>
      </c>
      <c r="I166" s="24">
        <v>80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>
        <v>400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8">
        <f t="shared" si="7"/>
        <v>480</v>
      </c>
      <c r="AZ166" s="4">
        <f t="shared" si="6"/>
        <v>0</v>
      </c>
    </row>
    <row r="167" spans="1:52">
      <c r="A167" s="11">
        <v>43769</v>
      </c>
      <c r="B167" s="70" t="s">
        <v>390</v>
      </c>
      <c r="C167" s="31"/>
      <c r="D167" s="36" t="s">
        <v>126</v>
      </c>
      <c r="E167" s="36" t="s">
        <v>391</v>
      </c>
      <c r="G167" s="21" t="s">
        <v>353</v>
      </c>
      <c r="H167" s="81">
        <v>945</v>
      </c>
      <c r="I167" s="24"/>
      <c r="J167" s="18"/>
      <c r="K167" s="18"/>
      <c r="L167" s="18"/>
      <c r="M167" s="18"/>
      <c r="N167" s="71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>
        <v>472.5</v>
      </c>
      <c r="AI167" s="18">
        <v>472.5</v>
      </c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8">
        <f t="shared" si="7"/>
        <v>945</v>
      </c>
      <c r="AZ167" s="4">
        <f t="shared" si="6"/>
        <v>0</v>
      </c>
    </row>
    <row r="168" spans="1:52">
      <c r="A168" s="11">
        <v>43769</v>
      </c>
      <c r="B168" s="70" t="s">
        <v>392</v>
      </c>
      <c r="C168" s="31"/>
      <c r="D168" s="36" t="s">
        <v>114</v>
      </c>
      <c r="E168" s="36" t="s">
        <v>393</v>
      </c>
      <c r="G168" s="21" t="s">
        <v>353</v>
      </c>
      <c r="H168" s="81">
        <v>50.78</v>
      </c>
      <c r="I168" s="24"/>
      <c r="J168" s="18"/>
      <c r="K168" s="18"/>
      <c r="L168" s="18"/>
      <c r="M168" s="18"/>
      <c r="N168" s="71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>
        <v>50.78</v>
      </c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8">
        <f t="shared" si="7"/>
        <v>50.78</v>
      </c>
      <c r="AZ168" s="4">
        <f t="shared" si="6"/>
        <v>0</v>
      </c>
    </row>
    <row r="169" spans="1:52">
      <c r="A169" s="11">
        <v>43769</v>
      </c>
      <c r="B169" s="19" t="s">
        <v>394</v>
      </c>
      <c r="C169" s="31"/>
      <c r="D169" s="20" t="s">
        <v>46</v>
      </c>
      <c r="E169" s="20" t="s">
        <v>395</v>
      </c>
      <c r="G169" s="21" t="s">
        <v>353</v>
      </c>
      <c r="H169" s="22">
        <v>791.35</v>
      </c>
      <c r="I169" s="17"/>
      <c r="J169" s="18"/>
      <c r="K169" s="18">
        <f>H169</f>
        <v>791.35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8">
        <f t="shared" si="7"/>
        <v>791.35</v>
      </c>
      <c r="AZ169" s="4">
        <f t="shared" si="6"/>
        <v>0</v>
      </c>
    </row>
    <row r="170" spans="1:52">
      <c r="A170" s="11">
        <v>43769</v>
      </c>
      <c r="B170" s="68" t="s">
        <v>396</v>
      </c>
      <c r="C170" s="19"/>
      <c r="D170" s="20" t="s">
        <v>117</v>
      </c>
      <c r="E170" s="20" t="s">
        <v>300</v>
      </c>
      <c r="G170" s="21" t="s">
        <v>353</v>
      </c>
      <c r="H170" s="22">
        <v>974.73</v>
      </c>
      <c r="I170" s="24"/>
      <c r="J170" s="18"/>
      <c r="K170" s="18"/>
      <c r="L170" s="18">
        <f>H170</f>
        <v>974.73</v>
      </c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8">
        <f t="shared" si="7"/>
        <v>974.73</v>
      </c>
      <c r="AZ170" s="4">
        <f t="shared" si="6"/>
        <v>0</v>
      </c>
    </row>
    <row r="171" spans="1:52" s="51" customFormat="1">
      <c r="A171" s="47">
        <v>43770</v>
      </c>
      <c r="B171" s="60" t="s">
        <v>397</v>
      </c>
      <c r="C171" s="60" t="s">
        <v>79</v>
      </c>
      <c r="D171" s="61" t="s">
        <v>80</v>
      </c>
      <c r="E171" s="61" t="s">
        <v>398</v>
      </c>
      <c r="G171" s="62" t="s">
        <v>353</v>
      </c>
      <c r="H171" s="63">
        <v>1967.67</v>
      </c>
      <c r="I171" s="54"/>
      <c r="J171" s="55">
        <f>H171</f>
        <v>1967.67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6">
        <f t="shared" si="7"/>
        <v>1967.67</v>
      </c>
      <c r="AZ171" s="51">
        <f t="shared" si="6"/>
        <v>0</v>
      </c>
    </row>
    <row r="172" spans="1:52">
      <c r="A172" s="11">
        <v>43771</v>
      </c>
      <c r="B172" s="70" t="s">
        <v>399</v>
      </c>
      <c r="C172" s="31"/>
      <c r="D172" s="24" t="s">
        <v>400</v>
      </c>
      <c r="E172" s="24" t="s">
        <v>401</v>
      </c>
      <c r="G172" s="21" t="s">
        <v>353</v>
      </c>
      <c r="H172" s="81">
        <v>1</v>
      </c>
      <c r="I172" s="24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>
        <v>1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8">
        <f t="shared" si="7"/>
        <v>1</v>
      </c>
      <c r="AZ172" s="4">
        <f t="shared" si="6"/>
        <v>0</v>
      </c>
    </row>
    <row r="173" spans="1:52">
      <c r="A173" s="11">
        <v>43771</v>
      </c>
      <c r="B173" s="70" t="s">
        <v>402</v>
      </c>
      <c r="C173" s="31"/>
      <c r="D173" s="20" t="s">
        <v>403</v>
      </c>
      <c r="E173" s="20" t="s">
        <v>404</v>
      </c>
      <c r="G173" s="21" t="s">
        <v>353</v>
      </c>
      <c r="H173" s="81">
        <v>60</v>
      </c>
      <c r="I173" s="24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>
        <v>60</v>
      </c>
      <c r="AT173" s="18"/>
      <c r="AU173" s="18"/>
      <c r="AV173" s="18"/>
      <c r="AW173" s="18"/>
      <c r="AX173" s="18"/>
      <c r="AY173" s="8">
        <f t="shared" si="7"/>
        <v>60</v>
      </c>
      <c r="AZ173" s="4">
        <f t="shared" si="6"/>
        <v>0</v>
      </c>
    </row>
    <row r="174" spans="1:52">
      <c r="A174" s="11">
        <v>43774</v>
      </c>
      <c r="B174" s="12" t="s">
        <v>405</v>
      </c>
      <c r="C174" s="19" t="s">
        <v>83</v>
      </c>
      <c r="D174" s="24" t="s">
        <v>355</v>
      </c>
      <c r="E174" s="24" t="s">
        <v>406</v>
      </c>
      <c r="G174" s="21" t="s">
        <v>353</v>
      </c>
      <c r="H174" s="25">
        <v>45.07</v>
      </c>
      <c r="I174" s="26">
        <v>7.51</v>
      </c>
      <c r="J174" s="18"/>
      <c r="K174" s="18"/>
      <c r="L174" s="18"/>
      <c r="M174" s="18"/>
      <c r="N174" s="18">
        <v>37.56</v>
      </c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46">
        <f t="shared" si="7"/>
        <v>45.07</v>
      </c>
      <c r="AZ174" s="4">
        <f t="shared" si="6"/>
        <v>0</v>
      </c>
    </row>
    <row r="175" spans="1:52">
      <c r="A175" s="69">
        <v>43787</v>
      </c>
      <c r="B175" s="68" t="s">
        <v>407</v>
      </c>
      <c r="C175" s="19" t="s">
        <v>83</v>
      </c>
      <c r="D175" s="24" t="s">
        <v>88</v>
      </c>
      <c r="E175" s="24" t="s">
        <v>408</v>
      </c>
      <c r="G175" s="21" t="s">
        <v>353</v>
      </c>
      <c r="H175" s="66">
        <v>568.04</v>
      </c>
      <c r="I175" s="24">
        <v>94.67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>
        <v>473.37</v>
      </c>
      <c r="AU175" s="18"/>
      <c r="AV175" s="18"/>
      <c r="AW175" s="18"/>
      <c r="AX175" s="18"/>
      <c r="AY175" s="8">
        <f t="shared" si="7"/>
        <v>568.04</v>
      </c>
      <c r="AZ175" s="4">
        <f t="shared" si="6"/>
        <v>0</v>
      </c>
    </row>
    <row r="176" spans="1:52">
      <c r="A176" s="11">
        <v>43787</v>
      </c>
      <c r="B176" s="70" t="s">
        <v>409</v>
      </c>
      <c r="C176" s="31"/>
      <c r="D176" s="24" t="s">
        <v>410</v>
      </c>
      <c r="E176" s="24" t="s">
        <v>411</v>
      </c>
      <c r="G176" s="21" t="s">
        <v>353</v>
      </c>
      <c r="H176" s="81">
        <v>268</v>
      </c>
      <c r="I176" s="24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72">
        <v>268</v>
      </c>
      <c r="AV176" s="77"/>
      <c r="AW176" s="18"/>
      <c r="AX176" s="18"/>
      <c r="AY176" s="8">
        <f t="shared" si="7"/>
        <v>268</v>
      </c>
      <c r="AZ176" s="4">
        <f t="shared" si="6"/>
        <v>0</v>
      </c>
    </row>
    <row r="177" spans="1:52">
      <c r="A177" s="11">
        <v>43787</v>
      </c>
      <c r="B177" s="70" t="s">
        <v>412</v>
      </c>
      <c r="C177" s="31"/>
      <c r="D177" s="36" t="s">
        <v>413</v>
      </c>
      <c r="E177" s="36" t="s">
        <v>414</v>
      </c>
      <c r="G177" s="78" t="s">
        <v>353</v>
      </c>
      <c r="H177" s="79">
        <v>837</v>
      </c>
      <c r="I177" s="76"/>
      <c r="J177" s="80"/>
      <c r="K177" s="80"/>
      <c r="L177" s="80"/>
      <c r="M177" s="80"/>
      <c r="N177" s="80"/>
      <c r="O177" s="80"/>
      <c r="P177" s="76"/>
      <c r="Q177" s="76"/>
      <c r="R177" s="80"/>
      <c r="S177" s="80"/>
      <c r="T177" s="18"/>
      <c r="U177" s="76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76"/>
      <c r="AJ177" s="80"/>
      <c r="AK177" s="80"/>
      <c r="AL177" s="80"/>
      <c r="AM177" s="80"/>
      <c r="AN177" s="80"/>
      <c r="AO177" s="80"/>
      <c r="AP177" s="80"/>
      <c r="AQ177" s="76"/>
      <c r="AR177" s="80"/>
      <c r="AS177" s="80"/>
      <c r="AT177" s="80"/>
      <c r="AU177" s="72">
        <v>837</v>
      </c>
      <c r="AV177" s="80"/>
      <c r="AW177" s="80"/>
      <c r="AX177" s="80"/>
      <c r="AY177" s="8">
        <f t="shared" si="7"/>
        <v>837</v>
      </c>
      <c r="AZ177" s="4">
        <f t="shared" si="6"/>
        <v>0</v>
      </c>
    </row>
    <row r="178" spans="1:52">
      <c r="A178" s="11">
        <v>43794</v>
      </c>
      <c r="B178" s="70" t="s">
        <v>415</v>
      </c>
      <c r="C178" s="12" t="s">
        <v>83</v>
      </c>
      <c r="D178" s="24" t="s">
        <v>175</v>
      </c>
      <c r="E178" s="24" t="s">
        <v>416</v>
      </c>
      <c r="G178" s="21" t="s">
        <v>353</v>
      </c>
      <c r="H178" s="66">
        <v>344.06</v>
      </c>
      <c r="I178" s="17">
        <v>53.82</v>
      </c>
      <c r="J178" s="18"/>
      <c r="K178" s="18"/>
      <c r="L178" s="18"/>
      <c r="M178" s="18"/>
      <c r="N178" s="18"/>
      <c r="O178" s="18"/>
      <c r="P178" s="18">
        <v>269.10000000000002</v>
      </c>
      <c r="Q178" s="18"/>
      <c r="R178" s="18">
        <v>21.14</v>
      </c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8">
        <f t="shared" si="7"/>
        <v>344.06</v>
      </c>
      <c r="AZ178" s="4">
        <f t="shared" si="6"/>
        <v>0</v>
      </c>
    </row>
    <row r="179" spans="1:52">
      <c r="A179" s="11">
        <v>43796</v>
      </c>
      <c r="B179" s="70" t="s">
        <v>417</v>
      </c>
      <c r="C179" s="31"/>
      <c r="D179" s="24" t="s">
        <v>410</v>
      </c>
      <c r="E179" s="24" t="s">
        <v>418</v>
      </c>
      <c r="G179" s="21" t="s">
        <v>353</v>
      </c>
      <c r="H179" s="81">
        <v>268</v>
      </c>
      <c r="I179" s="24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72">
        <v>268</v>
      </c>
      <c r="AV179" s="77"/>
      <c r="AW179" s="18"/>
      <c r="AX179" s="18"/>
      <c r="AY179" s="8">
        <f t="shared" si="7"/>
        <v>268</v>
      </c>
      <c r="AZ179" s="4">
        <f t="shared" si="6"/>
        <v>0</v>
      </c>
    </row>
    <row r="180" spans="1:52">
      <c r="A180" s="11">
        <v>43796</v>
      </c>
      <c r="B180" s="70" t="s">
        <v>419</v>
      </c>
      <c r="C180" s="31"/>
      <c r="D180" s="36" t="s">
        <v>100</v>
      </c>
      <c r="E180" s="36" t="s">
        <v>420</v>
      </c>
      <c r="G180" s="78" t="s">
        <v>353</v>
      </c>
      <c r="H180" s="79">
        <v>250</v>
      </c>
      <c r="I180" s="76"/>
      <c r="J180" s="80"/>
      <c r="K180" s="80"/>
      <c r="L180" s="80"/>
      <c r="M180" s="80"/>
      <c r="N180" s="80"/>
      <c r="O180" s="80"/>
      <c r="P180" s="76"/>
      <c r="Q180" s="76"/>
      <c r="R180" s="80"/>
      <c r="S180" s="80"/>
      <c r="T180" s="18"/>
      <c r="U180" s="76"/>
      <c r="V180" s="80"/>
      <c r="W180" s="80"/>
      <c r="X180" s="80"/>
      <c r="Y180" s="80"/>
      <c r="Z180" s="76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76"/>
      <c r="AR180" s="76">
        <v>250</v>
      </c>
      <c r="AS180" s="80"/>
      <c r="AT180" s="80"/>
      <c r="AU180" s="80"/>
      <c r="AV180" s="80"/>
      <c r="AW180" s="80"/>
      <c r="AX180" s="80"/>
      <c r="AY180" s="8">
        <f t="shared" si="7"/>
        <v>250</v>
      </c>
      <c r="AZ180" s="4">
        <f t="shared" si="6"/>
        <v>0</v>
      </c>
    </row>
    <row r="181" spans="1:52">
      <c r="A181" s="11">
        <v>43796</v>
      </c>
      <c r="B181" s="70" t="s">
        <v>421</v>
      </c>
      <c r="C181" s="31"/>
      <c r="D181" s="36" t="s">
        <v>95</v>
      </c>
      <c r="E181" s="36" t="s">
        <v>398</v>
      </c>
      <c r="G181" s="78" t="s">
        <v>353</v>
      </c>
      <c r="H181" s="79">
        <v>651.99</v>
      </c>
      <c r="I181" s="76"/>
      <c r="J181" s="76">
        <v>651.99</v>
      </c>
      <c r="K181" s="80"/>
      <c r="L181" s="80"/>
      <c r="M181" s="80"/>
      <c r="N181" s="80"/>
      <c r="O181" s="80"/>
      <c r="P181" s="76"/>
      <c r="Q181" s="76"/>
      <c r="R181" s="80"/>
      <c r="S181" s="80"/>
      <c r="T181" s="18"/>
      <c r="U181" s="76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76"/>
      <c r="AR181" s="80"/>
      <c r="AS181" s="80"/>
      <c r="AT181" s="80"/>
      <c r="AU181" s="80"/>
      <c r="AV181" s="76"/>
      <c r="AW181" s="80"/>
      <c r="AX181" s="80"/>
      <c r="AY181" s="8">
        <f t="shared" si="7"/>
        <v>651.99</v>
      </c>
      <c r="AZ181" s="4">
        <f t="shared" si="6"/>
        <v>0</v>
      </c>
    </row>
    <row r="182" spans="1:52">
      <c r="A182" s="11">
        <v>43797</v>
      </c>
      <c r="B182" s="70" t="s">
        <v>422</v>
      </c>
      <c r="C182" s="33" t="s">
        <v>423</v>
      </c>
      <c r="D182" s="24" t="s">
        <v>97</v>
      </c>
      <c r="E182" s="24" t="s">
        <v>424</v>
      </c>
      <c r="G182" s="21" t="s">
        <v>353</v>
      </c>
      <c r="H182" s="81">
        <v>40.5</v>
      </c>
      <c r="I182" s="24"/>
      <c r="J182" s="18"/>
      <c r="K182" s="18"/>
      <c r="L182" s="18"/>
      <c r="M182" s="18"/>
      <c r="N182" s="18"/>
      <c r="O182" s="18"/>
      <c r="P182" s="18"/>
      <c r="Q182" s="18"/>
      <c r="R182" s="18"/>
      <c r="S182" s="18">
        <v>40.5</v>
      </c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8">
        <f t="shared" si="7"/>
        <v>40.5</v>
      </c>
      <c r="AZ182" s="4">
        <f t="shared" si="6"/>
        <v>0</v>
      </c>
    </row>
    <row r="183" spans="1:52">
      <c r="A183" s="11">
        <v>43797</v>
      </c>
      <c r="B183" s="70" t="s">
        <v>425</v>
      </c>
      <c r="C183" s="31"/>
      <c r="D183" s="20" t="s">
        <v>100</v>
      </c>
      <c r="E183" s="20" t="s">
        <v>426</v>
      </c>
      <c r="G183" s="21" t="s">
        <v>353</v>
      </c>
      <c r="H183" s="22">
        <v>68.67</v>
      </c>
      <c r="I183" s="24"/>
      <c r="J183" s="18"/>
      <c r="K183" s="18"/>
      <c r="L183" s="18"/>
      <c r="M183" s="18"/>
      <c r="N183" s="18"/>
      <c r="O183" s="18"/>
      <c r="P183" s="18"/>
      <c r="Q183" s="18"/>
      <c r="R183" s="18">
        <v>41.67</v>
      </c>
      <c r="S183" s="18">
        <v>27</v>
      </c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8">
        <f t="shared" si="7"/>
        <v>68.67</v>
      </c>
      <c r="AZ183" s="4">
        <f t="shared" si="6"/>
        <v>0</v>
      </c>
    </row>
    <row r="184" spans="1:52">
      <c r="A184" s="11">
        <v>43797</v>
      </c>
      <c r="B184" s="70" t="s">
        <v>427</v>
      </c>
      <c r="C184" s="31"/>
      <c r="D184" s="24" t="s">
        <v>103</v>
      </c>
      <c r="E184" s="24" t="s">
        <v>428</v>
      </c>
      <c r="G184" s="21" t="s">
        <v>353</v>
      </c>
      <c r="H184" s="81">
        <v>757.99</v>
      </c>
      <c r="I184" s="24">
        <v>126.33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>
        <f>192.78+70</f>
        <v>262.77999999999997</v>
      </c>
      <c r="AB184" s="18">
        <f>23.51+23.51</f>
        <v>47.02</v>
      </c>
      <c r="AC184" s="18">
        <f>23.51+108.14</f>
        <v>131.65</v>
      </c>
      <c r="AD184" s="18">
        <v>147.16</v>
      </c>
      <c r="AE184" s="18">
        <v>43.05</v>
      </c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8">
        <f t="shared" si="7"/>
        <v>757.9899999999999</v>
      </c>
      <c r="AZ184" s="4">
        <f t="shared" si="6"/>
        <v>0</v>
      </c>
    </row>
    <row r="185" spans="1:52">
      <c r="A185" s="11">
        <v>43797</v>
      </c>
      <c r="B185" s="70" t="s">
        <v>429</v>
      </c>
      <c r="C185" s="31"/>
      <c r="D185" s="36" t="s">
        <v>106</v>
      </c>
      <c r="E185" s="35" t="s">
        <v>430</v>
      </c>
      <c r="G185" s="21" t="s">
        <v>353</v>
      </c>
      <c r="H185" s="28">
        <v>461</v>
      </c>
      <c r="I185" s="24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>
        <v>441</v>
      </c>
      <c r="AA185" s="18"/>
      <c r="AB185" s="18"/>
      <c r="AC185" s="18"/>
      <c r="AD185" s="18"/>
      <c r="AE185" s="18"/>
      <c r="AF185" s="18">
        <v>20</v>
      </c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8">
        <f t="shared" si="7"/>
        <v>461</v>
      </c>
      <c r="AZ185" s="4">
        <f t="shared" si="6"/>
        <v>0</v>
      </c>
    </row>
    <row r="186" spans="1:52">
      <c r="A186" s="11">
        <v>43797</v>
      </c>
      <c r="B186" s="70" t="s">
        <v>431</v>
      </c>
      <c r="C186" s="82"/>
      <c r="D186" s="24" t="s">
        <v>80</v>
      </c>
      <c r="E186" s="24" t="s">
        <v>432</v>
      </c>
      <c r="G186" s="21" t="s">
        <v>353</v>
      </c>
      <c r="H186" s="66">
        <v>48.84</v>
      </c>
      <c r="I186" s="26">
        <v>3.86</v>
      </c>
      <c r="J186" s="18"/>
      <c r="K186" s="18"/>
      <c r="L186" s="18"/>
      <c r="M186" s="18">
        <v>13.5</v>
      </c>
      <c r="N186" s="18"/>
      <c r="O186" s="18">
        <v>31.48</v>
      </c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8">
        <f t="shared" si="7"/>
        <v>48.84</v>
      </c>
      <c r="AZ186" s="4">
        <f t="shared" si="6"/>
        <v>0</v>
      </c>
    </row>
    <row r="187" spans="1:52">
      <c r="A187" s="11">
        <v>43797</v>
      </c>
      <c r="B187" s="70" t="s">
        <v>433</v>
      </c>
      <c r="C187" s="75"/>
      <c r="D187" s="36" t="s">
        <v>95</v>
      </c>
      <c r="E187" s="36" t="s">
        <v>432</v>
      </c>
      <c r="F187" s="6"/>
      <c r="G187" s="21" t="s">
        <v>353</v>
      </c>
      <c r="H187" s="28">
        <v>309.14999999999998</v>
      </c>
      <c r="I187" s="26">
        <v>47.14</v>
      </c>
      <c r="J187" s="18"/>
      <c r="K187" s="18"/>
      <c r="L187" s="18"/>
      <c r="M187" s="18">
        <f>6.3*4</f>
        <v>25.2</v>
      </c>
      <c r="N187" s="18"/>
      <c r="O187" s="18"/>
      <c r="P187" s="18"/>
      <c r="Q187" s="18"/>
      <c r="R187" s="18">
        <v>56.24</v>
      </c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>
        <v>26.88</v>
      </c>
      <c r="AI187" s="18">
        <v>14.16</v>
      </c>
      <c r="AJ187" s="18"/>
      <c r="AK187" s="18"/>
      <c r="AL187" s="18">
        <f>138.54+0.99</f>
        <v>139.53</v>
      </c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8">
        <f t="shared" si="7"/>
        <v>309.14999999999998</v>
      </c>
      <c r="AZ187" s="4">
        <f t="shared" si="6"/>
        <v>0</v>
      </c>
    </row>
    <row r="188" spans="1:52">
      <c r="A188" s="11">
        <v>43797</v>
      </c>
      <c r="B188" s="70" t="s">
        <v>434</v>
      </c>
      <c r="C188" s="31"/>
      <c r="D188" s="36" t="s">
        <v>203</v>
      </c>
      <c r="E188" s="36" t="s">
        <v>435</v>
      </c>
      <c r="G188" s="21" t="s">
        <v>353</v>
      </c>
      <c r="H188" s="28">
        <v>60</v>
      </c>
      <c r="I188" s="24">
        <v>10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>
        <v>50</v>
      </c>
      <c r="AU188" s="18"/>
      <c r="AV188" s="18"/>
      <c r="AW188" s="18"/>
      <c r="AX188" s="18"/>
      <c r="AY188" s="8">
        <f t="shared" si="7"/>
        <v>60</v>
      </c>
      <c r="AZ188" s="4">
        <f t="shared" si="6"/>
        <v>0</v>
      </c>
    </row>
    <row r="189" spans="1:52">
      <c r="A189" s="11">
        <v>43797</v>
      </c>
      <c r="B189" s="70" t="s">
        <v>436</v>
      </c>
      <c r="C189" s="31"/>
      <c r="D189" s="36" t="s">
        <v>437</v>
      </c>
      <c r="E189" s="36" t="s">
        <v>438</v>
      </c>
      <c r="G189" s="21" t="s">
        <v>353</v>
      </c>
      <c r="H189" s="28">
        <v>104.4</v>
      </c>
      <c r="I189" s="24">
        <v>17.399999999999999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>
        <v>87</v>
      </c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8">
        <f t="shared" si="7"/>
        <v>104.4</v>
      </c>
      <c r="AZ189" s="4">
        <f t="shared" si="6"/>
        <v>0</v>
      </c>
    </row>
    <row r="190" spans="1:52">
      <c r="A190" s="11">
        <v>43797</v>
      </c>
      <c r="B190" s="70" t="s">
        <v>439</v>
      </c>
      <c r="C190" s="83" t="s">
        <v>440</v>
      </c>
      <c r="D190" s="24" t="s">
        <v>161</v>
      </c>
      <c r="E190" s="24" t="s">
        <v>441</v>
      </c>
      <c r="G190" s="21" t="s">
        <v>353</v>
      </c>
      <c r="H190" s="66">
        <f>52.56+36.58</f>
        <v>89.14</v>
      </c>
      <c r="I190" s="26">
        <f>8.76+6.1</f>
        <v>14.86</v>
      </c>
      <c r="J190" s="18"/>
      <c r="K190" s="18"/>
      <c r="L190" s="18"/>
      <c r="M190" s="18"/>
      <c r="N190" s="18"/>
      <c r="O190" s="18"/>
      <c r="P190" s="18"/>
      <c r="Q190" s="18"/>
      <c r="R190" s="18">
        <f>42.32+1.48+30.48</f>
        <v>74.28</v>
      </c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8">
        <f t="shared" si="7"/>
        <v>89.14</v>
      </c>
      <c r="AZ190" s="4">
        <f t="shared" si="6"/>
        <v>0</v>
      </c>
    </row>
    <row r="191" spans="1:52">
      <c r="A191" s="11">
        <v>43797</v>
      </c>
      <c r="B191" s="70" t="s">
        <v>442</v>
      </c>
      <c r="C191" s="75"/>
      <c r="D191" s="36" t="s">
        <v>443</v>
      </c>
      <c r="E191" s="36" t="s">
        <v>444</v>
      </c>
      <c r="G191" s="21" t="s">
        <v>353</v>
      </c>
      <c r="H191" s="28">
        <v>900</v>
      </c>
      <c r="I191" s="24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>
        <v>650</v>
      </c>
      <c r="AV191" s="18">
        <v>250</v>
      </c>
      <c r="AW191" s="18"/>
      <c r="AX191" s="18"/>
      <c r="AY191" s="8">
        <f t="shared" si="7"/>
        <v>900</v>
      </c>
      <c r="AZ191" s="4">
        <f t="shared" si="6"/>
        <v>0</v>
      </c>
    </row>
    <row r="192" spans="1:52">
      <c r="A192" s="11">
        <v>43797</v>
      </c>
      <c r="B192" s="70" t="s">
        <v>445</v>
      </c>
      <c r="C192" s="75"/>
      <c r="D192" s="36" t="s">
        <v>446</v>
      </c>
      <c r="E192" s="36" t="s">
        <v>447</v>
      </c>
      <c r="G192" s="21" t="s">
        <v>353</v>
      </c>
      <c r="H192" s="28">
        <v>275</v>
      </c>
      <c r="I192" s="24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>
        <v>275</v>
      </c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8">
        <f t="shared" si="7"/>
        <v>275</v>
      </c>
      <c r="AZ192" s="4">
        <f t="shared" si="6"/>
        <v>0</v>
      </c>
    </row>
    <row r="193" spans="1:52">
      <c r="A193" s="11">
        <v>43797</v>
      </c>
      <c r="B193" s="70" t="s">
        <v>448</v>
      </c>
      <c r="C193" s="31"/>
      <c r="D193" s="36" t="s">
        <v>413</v>
      </c>
      <c r="E193" s="36" t="s">
        <v>449</v>
      </c>
      <c r="G193" s="21" t="s">
        <v>353</v>
      </c>
      <c r="H193" s="28">
        <v>1950</v>
      </c>
      <c r="I193" s="24">
        <v>325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20"/>
      <c r="AD193" s="18"/>
      <c r="AE193" s="18"/>
      <c r="AF193" s="20"/>
      <c r="AG193" s="20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72">
        <f>1950-325</f>
        <v>1625</v>
      </c>
      <c r="AV193" s="18"/>
      <c r="AW193" s="18"/>
      <c r="AX193" s="18"/>
      <c r="AY193" s="8">
        <f t="shared" si="7"/>
        <v>1950</v>
      </c>
      <c r="AZ193" s="4">
        <f t="shared" si="6"/>
        <v>0</v>
      </c>
    </row>
    <row r="194" spans="1:52">
      <c r="A194" s="11">
        <v>43797</v>
      </c>
      <c r="B194" s="70" t="s">
        <v>450</v>
      </c>
      <c r="C194" s="84"/>
      <c r="D194" s="36" t="s">
        <v>451</v>
      </c>
      <c r="E194" s="36" t="s">
        <v>452</v>
      </c>
      <c r="G194" s="21" t="s">
        <v>353</v>
      </c>
      <c r="H194" s="28">
        <v>1159.2</v>
      </c>
      <c r="I194" s="24">
        <v>193.2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74">
        <v>966</v>
      </c>
      <c r="AV194" s="18"/>
      <c r="AW194" s="18"/>
      <c r="AX194" s="18"/>
      <c r="AY194" s="8">
        <f t="shared" si="7"/>
        <v>1159.2</v>
      </c>
      <c r="AZ194" s="4">
        <f t="shared" si="6"/>
        <v>0</v>
      </c>
    </row>
    <row r="195" spans="1:52" ht="12" customHeight="1">
      <c r="A195" s="11">
        <v>43797</v>
      </c>
      <c r="B195" s="70" t="s">
        <v>453</v>
      </c>
      <c r="C195" s="85"/>
      <c r="D195" s="36" t="s">
        <v>295</v>
      </c>
      <c r="E195" s="36" t="s">
        <v>454</v>
      </c>
      <c r="G195" s="21" t="s">
        <v>353</v>
      </c>
      <c r="H195" s="28">
        <v>40</v>
      </c>
      <c r="I195" s="24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>
        <v>40</v>
      </c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8">
        <f t="shared" si="7"/>
        <v>40</v>
      </c>
      <c r="AZ195" s="4">
        <f t="shared" si="6"/>
        <v>0</v>
      </c>
    </row>
    <row r="196" spans="1:52">
      <c r="A196" s="11">
        <v>43798</v>
      </c>
      <c r="B196" s="19" t="s">
        <v>455</v>
      </c>
      <c r="C196" s="31"/>
      <c r="D196" s="20" t="s">
        <v>46</v>
      </c>
      <c r="E196" s="20" t="s">
        <v>456</v>
      </c>
      <c r="G196" s="21" t="s">
        <v>353</v>
      </c>
      <c r="H196" s="22">
        <v>791.35</v>
      </c>
      <c r="I196" s="17"/>
      <c r="J196" s="18"/>
      <c r="K196" s="18">
        <f>H196</f>
        <v>791.35</v>
      </c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8">
        <f t="shared" si="7"/>
        <v>791.35</v>
      </c>
      <c r="AZ196" s="4">
        <f t="shared" si="6"/>
        <v>0</v>
      </c>
    </row>
    <row r="197" spans="1:52">
      <c r="A197" s="11">
        <v>43798</v>
      </c>
      <c r="B197" s="68" t="s">
        <v>457</v>
      </c>
      <c r="C197" s="19"/>
      <c r="D197" s="20" t="s">
        <v>117</v>
      </c>
      <c r="E197" s="20" t="s">
        <v>300</v>
      </c>
      <c r="G197" s="21" t="s">
        <v>353</v>
      </c>
      <c r="H197" s="22">
        <v>974.73</v>
      </c>
      <c r="I197" s="24"/>
      <c r="J197" s="18"/>
      <c r="K197" s="18"/>
      <c r="L197" s="18">
        <f>H197</f>
        <v>974.73</v>
      </c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8">
        <f t="shared" si="7"/>
        <v>974.73</v>
      </c>
      <c r="AZ197" s="4">
        <f t="shared" ref="AZ197:AZ245" si="8">AY197-H197</f>
        <v>0</v>
      </c>
    </row>
    <row r="198" spans="1:52" s="51" customFormat="1">
      <c r="A198" s="47">
        <v>43801</v>
      </c>
      <c r="B198" s="60" t="s">
        <v>458</v>
      </c>
      <c r="C198" s="60" t="s">
        <v>79</v>
      </c>
      <c r="D198" s="61" t="s">
        <v>80</v>
      </c>
      <c r="E198" s="61" t="s">
        <v>459</v>
      </c>
      <c r="G198" s="62" t="s">
        <v>353</v>
      </c>
      <c r="H198" s="63">
        <v>1967.67</v>
      </c>
      <c r="I198" s="54"/>
      <c r="J198" s="55">
        <f>H198</f>
        <v>1967.67</v>
      </c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6">
        <f t="shared" ref="AY198:AY245" si="9">SUM(I198:AX198)</f>
        <v>1967.67</v>
      </c>
      <c r="AZ198" s="51">
        <f t="shared" si="8"/>
        <v>0</v>
      </c>
    </row>
    <row r="199" spans="1:52">
      <c r="A199" s="11">
        <v>43803</v>
      </c>
      <c r="B199" s="70" t="s">
        <v>460</v>
      </c>
      <c r="C199" s="58" t="s">
        <v>83</v>
      </c>
      <c r="D199" s="40" t="s">
        <v>84</v>
      </c>
      <c r="E199" s="40" t="s">
        <v>85</v>
      </c>
      <c r="G199" s="21" t="s">
        <v>353</v>
      </c>
      <c r="H199" s="81">
        <v>7</v>
      </c>
      <c r="I199" s="24"/>
      <c r="J199" s="18"/>
      <c r="K199" s="18"/>
      <c r="L199" s="18"/>
      <c r="M199" s="18"/>
      <c r="N199" s="18"/>
      <c r="O199" s="18"/>
      <c r="P199" s="18"/>
      <c r="Q199" s="18"/>
      <c r="R199" s="18">
        <v>7</v>
      </c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8">
        <f t="shared" si="9"/>
        <v>7</v>
      </c>
      <c r="AZ199" s="4">
        <f t="shared" si="8"/>
        <v>0</v>
      </c>
    </row>
    <row r="200" spans="1:52">
      <c r="A200" s="11">
        <v>43803</v>
      </c>
      <c r="B200" s="12" t="s">
        <v>461</v>
      </c>
      <c r="C200" s="19" t="s">
        <v>83</v>
      </c>
      <c r="D200" s="24" t="s">
        <v>355</v>
      </c>
      <c r="E200" s="24" t="s">
        <v>462</v>
      </c>
      <c r="G200" s="21" t="s">
        <v>353</v>
      </c>
      <c r="H200" s="25">
        <v>45.91</v>
      </c>
      <c r="I200" s="26">
        <v>7.65</v>
      </c>
      <c r="J200" s="18"/>
      <c r="K200" s="18"/>
      <c r="L200" s="18"/>
      <c r="M200" s="18"/>
      <c r="N200" s="18">
        <v>38.26</v>
      </c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46">
        <f t="shared" si="9"/>
        <v>45.91</v>
      </c>
      <c r="AZ200" s="4">
        <f t="shared" si="8"/>
        <v>0</v>
      </c>
    </row>
    <row r="201" spans="1:52">
      <c r="A201" s="11">
        <v>43815</v>
      </c>
      <c r="B201" s="70" t="s">
        <v>463</v>
      </c>
      <c r="C201" s="31"/>
      <c r="D201" s="20" t="s">
        <v>88</v>
      </c>
      <c r="E201" s="20" t="s">
        <v>464</v>
      </c>
      <c r="G201" s="21" t="s">
        <v>353</v>
      </c>
      <c r="H201" s="22">
        <v>549.73</v>
      </c>
      <c r="I201" s="24">
        <v>91.62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>
        <v>458.11</v>
      </c>
      <c r="AU201" s="18"/>
      <c r="AV201" s="18"/>
      <c r="AW201" s="18"/>
      <c r="AX201" s="18"/>
      <c r="AY201" s="8">
        <f t="shared" si="9"/>
        <v>549.73</v>
      </c>
      <c r="AZ201" s="4">
        <f t="shared" si="8"/>
        <v>0</v>
      </c>
    </row>
    <row r="202" spans="1:52">
      <c r="A202" s="11">
        <v>43818</v>
      </c>
      <c r="B202" s="70" t="s">
        <v>465</v>
      </c>
      <c r="C202" s="31"/>
      <c r="D202" s="24" t="s">
        <v>95</v>
      </c>
      <c r="E202" s="24" t="s">
        <v>459</v>
      </c>
      <c r="G202" s="21" t="s">
        <v>353</v>
      </c>
      <c r="H202" s="81">
        <v>651.99</v>
      </c>
      <c r="I202" s="24"/>
      <c r="J202" s="18">
        <v>651.99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8">
        <f t="shared" si="9"/>
        <v>651.99</v>
      </c>
      <c r="AZ202" s="4">
        <f t="shared" si="8"/>
        <v>0</v>
      </c>
    </row>
    <row r="203" spans="1:52">
      <c r="A203" s="11">
        <v>43818</v>
      </c>
      <c r="B203" s="70" t="s">
        <v>466</v>
      </c>
      <c r="C203" s="12"/>
      <c r="D203" s="36" t="s">
        <v>97</v>
      </c>
      <c r="E203" s="36" t="s">
        <v>467</v>
      </c>
      <c r="G203" s="21" t="s">
        <v>353</v>
      </c>
      <c r="H203" s="66">
        <v>22.5</v>
      </c>
      <c r="I203" s="26"/>
      <c r="J203" s="18"/>
      <c r="K203" s="18"/>
      <c r="L203" s="18"/>
      <c r="M203" s="18"/>
      <c r="N203" s="18"/>
      <c r="O203" s="18"/>
      <c r="P203" s="18"/>
      <c r="Q203" s="18"/>
      <c r="R203" s="18"/>
      <c r="S203" s="18">
        <v>22.5</v>
      </c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8">
        <f t="shared" si="9"/>
        <v>22.5</v>
      </c>
      <c r="AZ203" s="4">
        <f t="shared" si="8"/>
        <v>0</v>
      </c>
    </row>
    <row r="204" spans="1:52">
      <c r="A204" s="11">
        <v>43818</v>
      </c>
      <c r="B204" s="70" t="s">
        <v>468</v>
      </c>
      <c r="C204" s="33"/>
      <c r="D204" s="36" t="s">
        <v>100</v>
      </c>
      <c r="E204" s="36" t="s">
        <v>469</v>
      </c>
      <c r="F204" s="6"/>
      <c r="G204" s="21" t="s">
        <v>353</v>
      </c>
      <c r="H204" s="79">
        <v>123.67</v>
      </c>
      <c r="I204" s="24"/>
      <c r="J204" s="18"/>
      <c r="K204" s="18"/>
      <c r="L204" s="18"/>
      <c r="M204" s="18"/>
      <c r="N204" s="18"/>
      <c r="O204" s="18"/>
      <c r="P204" s="18"/>
      <c r="Q204" s="18"/>
      <c r="R204" s="18">
        <v>41.67</v>
      </c>
      <c r="S204" s="18">
        <v>82</v>
      </c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8">
        <f t="shared" si="9"/>
        <v>123.67</v>
      </c>
      <c r="AZ204" s="4">
        <f t="shared" si="8"/>
        <v>0</v>
      </c>
    </row>
    <row r="205" spans="1:52">
      <c r="A205" s="11">
        <v>43818</v>
      </c>
      <c r="B205" s="70" t="s">
        <v>470</v>
      </c>
      <c r="C205" s="12"/>
      <c r="D205" s="36" t="s">
        <v>103</v>
      </c>
      <c r="E205" s="36" t="s">
        <v>471</v>
      </c>
      <c r="G205" s="21" t="s">
        <v>353</v>
      </c>
      <c r="H205" s="66">
        <v>673.99</v>
      </c>
      <c r="I205" s="26">
        <v>112.33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>
        <f>192.78</f>
        <v>192.78</v>
      </c>
      <c r="AB205" s="18">
        <f>23.51+23.51</f>
        <v>47.02</v>
      </c>
      <c r="AC205" s="18">
        <f>23.51+108.14</f>
        <v>131.65</v>
      </c>
      <c r="AD205" s="18">
        <v>147.16</v>
      </c>
      <c r="AE205" s="18">
        <v>43.05</v>
      </c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8">
        <f t="shared" si="9"/>
        <v>673.9899999999999</v>
      </c>
      <c r="AZ205" s="4">
        <f t="shared" si="8"/>
        <v>0</v>
      </c>
    </row>
    <row r="206" spans="1:52">
      <c r="A206" s="11">
        <v>43818</v>
      </c>
      <c r="B206" s="70" t="s">
        <v>472</v>
      </c>
      <c r="C206" s="12"/>
      <c r="D206" s="24" t="s">
        <v>106</v>
      </c>
      <c r="E206" s="24" t="s">
        <v>473</v>
      </c>
      <c r="G206" s="21" t="s">
        <v>353</v>
      </c>
      <c r="H206" s="66">
        <v>441</v>
      </c>
      <c r="I206" s="26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>
        <v>441</v>
      </c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8">
        <f t="shared" si="9"/>
        <v>441</v>
      </c>
      <c r="AZ206" s="4">
        <f t="shared" si="8"/>
        <v>0</v>
      </c>
    </row>
    <row r="207" spans="1:52">
      <c r="A207" s="11">
        <v>43818</v>
      </c>
      <c r="B207" s="70" t="s">
        <v>474</v>
      </c>
      <c r="C207" s="12"/>
      <c r="D207" s="36" t="s">
        <v>80</v>
      </c>
      <c r="E207" s="24" t="s">
        <v>475</v>
      </c>
      <c r="G207" s="21" t="s">
        <v>353</v>
      </c>
      <c r="H207" s="81">
        <v>86.8</v>
      </c>
      <c r="I207" s="24">
        <v>7.94</v>
      </c>
      <c r="J207" s="18"/>
      <c r="K207" s="18"/>
      <c r="L207" s="18"/>
      <c r="M207" s="18">
        <f>13.5+7.2+6.3</f>
        <v>27</v>
      </c>
      <c r="N207" s="18"/>
      <c r="O207" s="18">
        <f>19.3+12.18</f>
        <v>31.48</v>
      </c>
      <c r="P207" s="18"/>
      <c r="Q207" s="18"/>
      <c r="R207" s="18">
        <v>20.38</v>
      </c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8">
        <f t="shared" si="9"/>
        <v>86.8</v>
      </c>
      <c r="AZ207" s="4">
        <f t="shared" si="8"/>
        <v>0</v>
      </c>
    </row>
    <row r="208" spans="1:52">
      <c r="A208" s="11">
        <v>43818</v>
      </c>
      <c r="B208" s="70" t="s">
        <v>476</v>
      </c>
      <c r="C208" s="12"/>
      <c r="D208" s="36" t="s">
        <v>95</v>
      </c>
      <c r="E208" s="36" t="s">
        <v>475</v>
      </c>
      <c r="G208" s="21" t="s">
        <v>353</v>
      </c>
      <c r="H208" s="28">
        <v>11.61</v>
      </c>
      <c r="I208" s="24"/>
      <c r="J208" s="18"/>
      <c r="K208" s="18"/>
      <c r="L208" s="18"/>
      <c r="M208" s="18">
        <v>12.6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>
        <v>-0.99</v>
      </c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8">
        <f t="shared" si="9"/>
        <v>11.61</v>
      </c>
      <c r="AZ208" s="4">
        <f t="shared" si="8"/>
        <v>0</v>
      </c>
    </row>
    <row r="209" spans="1:52">
      <c r="A209" s="11">
        <v>43818</v>
      </c>
      <c r="B209" s="70" t="s">
        <v>477</v>
      </c>
      <c r="C209" s="12"/>
      <c r="D209" s="36" t="s">
        <v>203</v>
      </c>
      <c r="E209" s="36" t="s">
        <v>478</v>
      </c>
      <c r="G209" s="21" t="s">
        <v>353</v>
      </c>
      <c r="H209" s="28">
        <v>60</v>
      </c>
      <c r="I209" s="24">
        <v>10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>
        <v>50</v>
      </c>
      <c r="AU209" s="18"/>
      <c r="AV209" s="18"/>
      <c r="AW209" s="18"/>
      <c r="AX209" s="18"/>
      <c r="AY209" s="8">
        <f t="shared" si="9"/>
        <v>60</v>
      </c>
      <c r="AZ209" s="4">
        <f t="shared" si="8"/>
        <v>0</v>
      </c>
    </row>
    <row r="210" spans="1:52">
      <c r="A210" s="11">
        <v>43818</v>
      </c>
      <c r="B210" s="70" t="s">
        <v>479</v>
      </c>
      <c r="C210" s="12"/>
      <c r="D210" s="36" t="s">
        <v>161</v>
      </c>
      <c r="E210" s="36" t="s">
        <v>480</v>
      </c>
      <c r="G210" s="21" t="s">
        <v>353</v>
      </c>
      <c r="H210" s="66">
        <v>39.56</v>
      </c>
      <c r="I210" s="26">
        <v>6.59</v>
      </c>
      <c r="J210" s="18"/>
      <c r="K210" s="18"/>
      <c r="L210" s="18"/>
      <c r="M210" s="18"/>
      <c r="N210" s="18"/>
      <c r="O210" s="18"/>
      <c r="P210" s="18"/>
      <c r="Q210" s="18"/>
      <c r="R210" s="18">
        <v>32.97</v>
      </c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8">
        <f t="shared" si="9"/>
        <v>39.56</v>
      </c>
      <c r="AZ210" s="4">
        <f t="shared" si="8"/>
        <v>0</v>
      </c>
    </row>
    <row r="211" spans="1:52">
      <c r="A211" s="11">
        <v>43818</v>
      </c>
      <c r="B211" s="70" t="s">
        <v>481</v>
      </c>
      <c r="C211" s="12"/>
      <c r="D211" s="24" t="s">
        <v>482</v>
      </c>
      <c r="E211" s="24" t="s">
        <v>483</v>
      </c>
      <c r="G211" s="21" t="s">
        <v>353</v>
      </c>
      <c r="H211" s="66">
        <v>16</v>
      </c>
      <c r="I211" s="26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>
        <v>16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8">
        <f t="shared" si="9"/>
        <v>16</v>
      </c>
      <c r="AZ211" s="4">
        <f t="shared" si="8"/>
        <v>0</v>
      </c>
    </row>
    <row r="212" spans="1:52">
      <c r="A212" s="11">
        <v>43818</v>
      </c>
      <c r="B212" s="70" t="s">
        <v>484</v>
      </c>
      <c r="C212" s="31"/>
      <c r="D212" s="24" t="s">
        <v>193</v>
      </c>
      <c r="E212" s="24" t="s">
        <v>485</v>
      </c>
      <c r="G212" s="21" t="s">
        <v>353</v>
      </c>
      <c r="H212" s="81">
        <v>108.5</v>
      </c>
      <c r="I212" s="24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>
        <v>108.5</v>
      </c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8">
        <f t="shared" si="9"/>
        <v>108.5</v>
      </c>
      <c r="AZ212" s="4">
        <f t="shared" si="8"/>
        <v>0</v>
      </c>
    </row>
    <row r="213" spans="1:52">
      <c r="A213" s="11">
        <v>43818</v>
      </c>
      <c r="B213" s="70" t="s">
        <v>486</v>
      </c>
      <c r="C213" s="12"/>
      <c r="D213" s="24" t="s">
        <v>487</v>
      </c>
      <c r="E213" s="24" t="s">
        <v>454</v>
      </c>
      <c r="F213" s="86"/>
      <c r="G213" s="21" t="s">
        <v>353</v>
      </c>
      <c r="H213" s="66">
        <v>48</v>
      </c>
      <c r="I213" s="26">
        <v>8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>
        <v>40</v>
      </c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8">
        <f t="shared" si="9"/>
        <v>48</v>
      </c>
      <c r="AZ213" s="4">
        <f t="shared" si="8"/>
        <v>0</v>
      </c>
    </row>
    <row r="214" spans="1:52">
      <c r="A214" s="11">
        <v>43826</v>
      </c>
      <c r="B214" s="70"/>
      <c r="C214" s="31" t="s">
        <v>83</v>
      </c>
      <c r="D214" s="24" t="s">
        <v>175</v>
      </c>
      <c r="E214" s="24"/>
      <c r="G214" s="21" t="s">
        <v>353</v>
      </c>
      <c r="H214" s="81">
        <v>428.61</v>
      </c>
      <c r="I214" s="24">
        <f>4.44+5.33</f>
        <v>9.77</v>
      </c>
      <c r="J214" s="18"/>
      <c r="K214" s="18"/>
      <c r="L214" s="18"/>
      <c r="M214" s="18"/>
      <c r="N214" s="18"/>
      <c r="O214" s="18"/>
      <c r="P214" s="18"/>
      <c r="Q214" s="18"/>
      <c r="R214" s="18">
        <f>6+13.8+6+10.5+22.24+3+34.65</f>
        <v>96.19</v>
      </c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>
        <v>7.5</v>
      </c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72">
        <f>288.5+26.65</f>
        <v>315.14999999999998</v>
      </c>
      <c r="AV214" s="18"/>
      <c r="AW214" s="18"/>
      <c r="AX214" s="18"/>
      <c r="AY214" s="8">
        <f t="shared" si="9"/>
        <v>428.60999999999996</v>
      </c>
      <c r="AZ214" s="4">
        <f t="shared" si="8"/>
        <v>0</v>
      </c>
    </row>
    <row r="215" spans="1:52">
      <c r="A215" s="11">
        <v>43830</v>
      </c>
      <c r="B215" s="19" t="s">
        <v>488</v>
      </c>
      <c r="C215" s="31"/>
      <c r="D215" s="20" t="s">
        <v>46</v>
      </c>
      <c r="E215" s="20" t="s">
        <v>489</v>
      </c>
      <c r="G215" s="21" t="s">
        <v>353</v>
      </c>
      <c r="H215" s="22">
        <v>791.35</v>
      </c>
      <c r="I215" s="17"/>
      <c r="J215" s="18"/>
      <c r="K215" s="18">
        <f>H215</f>
        <v>791.35</v>
      </c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8">
        <f t="shared" si="9"/>
        <v>791.35</v>
      </c>
      <c r="AZ215" s="4">
        <f t="shared" si="8"/>
        <v>0</v>
      </c>
    </row>
    <row r="216" spans="1:52">
      <c r="A216" s="11">
        <v>43830</v>
      </c>
      <c r="B216" s="68" t="s">
        <v>490</v>
      </c>
      <c r="C216" s="19"/>
      <c r="D216" s="20" t="s">
        <v>117</v>
      </c>
      <c r="E216" s="20" t="s">
        <v>300</v>
      </c>
      <c r="G216" s="21" t="s">
        <v>353</v>
      </c>
      <c r="H216" s="22">
        <v>974.73</v>
      </c>
      <c r="I216" s="24"/>
      <c r="J216" s="18"/>
      <c r="K216" s="18"/>
      <c r="L216" s="18">
        <f>H216</f>
        <v>974.73</v>
      </c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8">
        <f t="shared" si="9"/>
        <v>974.73</v>
      </c>
      <c r="AZ216" s="4">
        <f t="shared" si="8"/>
        <v>0</v>
      </c>
    </row>
    <row r="217" spans="1:52" s="51" customFormat="1">
      <c r="A217" s="47">
        <v>43832</v>
      </c>
      <c r="B217" s="60" t="s">
        <v>491</v>
      </c>
      <c r="C217" s="60" t="s">
        <v>79</v>
      </c>
      <c r="D217" s="61" t="s">
        <v>80</v>
      </c>
      <c r="E217" s="61" t="s">
        <v>459</v>
      </c>
      <c r="G217" s="62" t="s">
        <v>353</v>
      </c>
      <c r="H217" s="63">
        <v>1967.67</v>
      </c>
      <c r="I217" s="54"/>
      <c r="J217" s="55">
        <f>H217</f>
        <v>1967.67</v>
      </c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6">
        <f t="shared" si="9"/>
        <v>1967.67</v>
      </c>
      <c r="AZ217" s="51">
        <f t="shared" si="8"/>
        <v>0</v>
      </c>
    </row>
    <row r="218" spans="1:52">
      <c r="A218" s="11">
        <v>43832</v>
      </c>
      <c r="B218" s="70" t="s">
        <v>492</v>
      </c>
      <c r="C218" s="12"/>
      <c r="D218" s="24" t="s">
        <v>97</v>
      </c>
      <c r="E218" s="24" t="s">
        <v>493</v>
      </c>
      <c r="G218" s="21" t="s">
        <v>353</v>
      </c>
      <c r="H218" s="87">
        <v>250</v>
      </c>
      <c r="I218" s="26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>
        <v>250</v>
      </c>
      <c r="AS218" s="18"/>
      <c r="AT218" s="18"/>
      <c r="AU218" s="18"/>
      <c r="AV218" s="18"/>
      <c r="AW218" s="18"/>
      <c r="AX218" s="18"/>
      <c r="AY218" s="8">
        <f t="shared" si="9"/>
        <v>250</v>
      </c>
      <c r="AZ218" s="4">
        <f t="shared" si="8"/>
        <v>0</v>
      </c>
    </row>
    <row r="219" spans="1:52">
      <c r="A219" s="11">
        <v>43833</v>
      </c>
      <c r="B219" s="70"/>
      <c r="C219" s="31" t="s">
        <v>83</v>
      </c>
      <c r="D219" s="24" t="s">
        <v>355</v>
      </c>
      <c r="E219" s="24" t="s">
        <v>494</v>
      </c>
      <c r="G219" s="21" t="s">
        <v>353</v>
      </c>
      <c r="H219" s="81">
        <v>38.42</v>
      </c>
      <c r="I219" s="24">
        <v>6.4</v>
      </c>
      <c r="J219" s="18"/>
      <c r="K219" s="18"/>
      <c r="L219" s="18"/>
      <c r="M219" s="18"/>
      <c r="N219" s="18">
        <v>32.020000000000003</v>
      </c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8">
        <f t="shared" si="9"/>
        <v>38.42</v>
      </c>
      <c r="AZ219" s="4">
        <f t="shared" si="8"/>
        <v>0</v>
      </c>
    </row>
    <row r="220" spans="1:52">
      <c r="A220" s="11">
        <v>43840</v>
      </c>
      <c r="B220" s="70" t="s">
        <v>495</v>
      </c>
      <c r="C220" s="31" t="s">
        <v>83</v>
      </c>
      <c r="D220" s="20" t="s">
        <v>84</v>
      </c>
      <c r="E220" s="20" t="s">
        <v>85</v>
      </c>
      <c r="G220" s="21" t="s">
        <v>353</v>
      </c>
      <c r="H220" s="22">
        <v>7</v>
      </c>
      <c r="I220" s="24"/>
      <c r="J220" s="18"/>
      <c r="K220" s="18"/>
      <c r="L220" s="18"/>
      <c r="M220" s="18"/>
      <c r="N220" s="18"/>
      <c r="O220" s="18"/>
      <c r="P220" s="18"/>
      <c r="R220" s="18">
        <v>7</v>
      </c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8">
        <f t="shared" si="9"/>
        <v>7</v>
      </c>
      <c r="AZ220" s="4">
        <f t="shared" si="8"/>
        <v>0</v>
      </c>
    </row>
    <row r="221" spans="1:52">
      <c r="A221" s="11">
        <v>43845</v>
      </c>
      <c r="B221" s="70" t="s">
        <v>496</v>
      </c>
      <c r="C221" s="31" t="s">
        <v>83</v>
      </c>
      <c r="D221" s="24" t="s">
        <v>88</v>
      </c>
      <c r="E221" s="24" t="s">
        <v>497</v>
      </c>
      <c r="G221" s="21" t="s">
        <v>353</v>
      </c>
      <c r="H221" s="81">
        <v>568.04</v>
      </c>
      <c r="I221" s="24">
        <v>94.67</v>
      </c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>
        <v>473.37</v>
      </c>
      <c r="AU221" s="18"/>
      <c r="AV221" s="18"/>
      <c r="AW221" s="18"/>
      <c r="AX221" s="18"/>
      <c r="AY221" s="8">
        <f t="shared" si="9"/>
        <v>568.04</v>
      </c>
      <c r="AZ221" s="4">
        <f t="shared" si="8"/>
        <v>0</v>
      </c>
    </row>
    <row r="222" spans="1:52">
      <c r="A222" s="11">
        <v>43851</v>
      </c>
      <c r="B222" s="70" t="s">
        <v>498</v>
      </c>
      <c r="C222" s="12"/>
      <c r="D222" s="24" t="s">
        <v>499</v>
      </c>
      <c r="E222" s="24" t="s">
        <v>500</v>
      </c>
      <c r="F222" s="86"/>
      <c r="G222" s="21" t="s">
        <v>353</v>
      </c>
      <c r="H222" s="66">
        <v>1583.2</v>
      </c>
      <c r="I222" s="26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>
        <v>1583.2</v>
      </c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8">
        <f t="shared" si="9"/>
        <v>1583.2</v>
      </c>
      <c r="AZ222" s="4">
        <f t="shared" si="8"/>
        <v>0</v>
      </c>
    </row>
    <row r="223" spans="1:52">
      <c r="A223" s="11">
        <v>43853</v>
      </c>
      <c r="B223" s="70" t="s">
        <v>501</v>
      </c>
      <c r="C223" s="31"/>
      <c r="D223" s="24" t="s">
        <v>95</v>
      </c>
      <c r="E223" s="24" t="s">
        <v>502</v>
      </c>
      <c r="G223" s="21" t="s">
        <v>353</v>
      </c>
      <c r="H223" s="81">
        <v>651.99</v>
      </c>
      <c r="I223" s="24"/>
      <c r="J223" s="18">
        <v>651.99</v>
      </c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8">
        <f t="shared" si="9"/>
        <v>651.99</v>
      </c>
      <c r="AZ223" s="4">
        <f t="shared" si="8"/>
        <v>0</v>
      </c>
    </row>
    <row r="224" spans="1:52">
      <c r="A224" s="69">
        <v>43853</v>
      </c>
      <c r="B224" s="68" t="s">
        <v>503</v>
      </c>
      <c r="C224" s="12"/>
      <c r="D224" s="36" t="s">
        <v>97</v>
      </c>
      <c r="E224" s="24" t="s">
        <v>504</v>
      </c>
      <c r="F224" s="86"/>
      <c r="G224" s="21" t="s">
        <v>353</v>
      </c>
      <c r="H224" s="66">
        <v>22.5</v>
      </c>
      <c r="I224" s="26"/>
      <c r="J224" s="18"/>
      <c r="K224" s="18"/>
      <c r="L224" s="18"/>
      <c r="M224" s="18"/>
      <c r="N224" s="18"/>
      <c r="O224" s="18"/>
      <c r="P224" s="18"/>
      <c r="Q224" s="18"/>
      <c r="R224" s="18"/>
      <c r="S224" s="18">
        <v>22.5</v>
      </c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8">
        <f t="shared" si="9"/>
        <v>22.5</v>
      </c>
      <c r="AZ224" s="4">
        <f t="shared" si="8"/>
        <v>0</v>
      </c>
    </row>
    <row r="225" spans="1:52">
      <c r="A225" s="11">
        <v>43853</v>
      </c>
      <c r="B225" s="70" t="s">
        <v>505</v>
      </c>
      <c r="C225" s="82"/>
      <c r="D225" s="36" t="s">
        <v>100</v>
      </c>
      <c r="E225" s="24" t="s">
        <v>506</v>
      </c>
      <c r="F225" s="86"/>
      <c r="G225" s="21" t="s">
        <v>353</v>
      </c>
      <c r="H225" s="66">
        <v>98.67</v>
      </c>
      <c r="I225" s="26"/>
      <c r="J225" s="18"/>
      <c r="K225" s="18"/>
      <c r="L225" s="18"/>
      <c r="M225" s="18"/>
      <c r="N225" s="18"/>
      <c r="O225" s="18"/>
      <c r="P225" s="18"/>
      <c r="Q225" s="18"/>
      <c r="R225" s="18">
        <v>41.67</v>
      </c>
      <c r="S225" s="18">
        <v>57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8">
        <f t="shared" si="9"/>
        <v>98.67</v>
      </c>
      <c r="AZ225" s="4">
        <f t="shared" si="8"/>
        <v>0</v>
      </c>
    </row>
    <row r="226" spans="1:52">
      <c r="A226" s="69">
        <v>43853</v>
      </c>
      <c r="B226" s="68" t="s">
        <v>507</v>
      </c>
      <c r="C226" s="12"/>
      <c r="D226" s="36" t="s">
        <v>103</v>
      </c>
      <c r="E226" s="24" t="s">
        <v>508</v>
      </c>
      <c r="G226" s="21" t="s">
        <v>353</v>
      </c>
      <c r="H226" s="66">
        <v>673.99</v>
      </c>
      <c r="I226" s="26">
        <v>112.33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>
        <f>192.78</f>
        <v>192.78</v>
      </c>
      <c r="AB226" s="18">
        <f>23.51+23.51</f>
        <v>47.02</v>
      </c>
      <c r="AC226" s="18">
        <f>23.51+108.14</f>
        <v>131.65</v>
      </c>
      <c r="AD226" s="18">
        <v>147.16</v>
      </c>
      <c r="AE226" s="18">
        <v>43.05</v>
      </c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8">
        <f t="shared" si="9"/>
        <v>673.9899999999999</v>
      </c>
      <c r="AZ226" s="4">
        <f t="shared" si="8"/>
        <v>0</v>
      </c>
    </row>
    <row r="227" spans="1:52">
      <c r="A227" s="11">
        <v>43853</v>
      </c>
      <c r="B227" s="70" t="s">
        <v>509</v>
      </c>
      <c r="C227" s="12"/>
      <c r="D227" s="24" t="s">
        <v>106</v>
      </c>
      <c r="E227" s="24" t="s">
        <v>510</v>
      </c>
      <c r="G227" s="21" t="s">
        <v>353</v>
      </c>
      <c r="H227" s="66">
        <v>451</v>
      </c>
      <c r="I227" s="26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>
        <v>10</v>
      </c>
      <c r="Z227" s="18">
        <v>441</v>
      </c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8">
        <f t="shared" si="9"/>
        <v>451</v>
      </c>
      <c r="AZ227" s="4">
        <f t="shared" si="8"/>
        <v>0</v>
      </c>
    </row>
    <row r="228" spans="1:52">
      <c r="A228" s="69">
        <v>43853</v>
      </c>
      <c r="B228" s="68" t="s">
        <v>511</v>
      </c>
      <c r="C228" s="12"/>
      <c r="D228" s="36" t="s">
        <v>80</v>
      </c>
      <c r="E228" s="24" t="s">
        <v>512</v>
      </c>
      <c r="G228" s="21" t="s">
        <v>353</v>
      </c>
      <c r="H228" s="66">
        <v>79.010000000000005</v>
      </c>
      <c r="I228" s="17">
        <v>3.83</v>
      </c>
      <c r="J228" s="18"/>
      <c r="K228" s="18"/>
      <c r="L228" s="18"/>
      <c r="M228" s="18">
        <v>19.8</v>
      </c>
      <c r="N228" s="18"/>
      <c r="O228" s="18">
        <f>19.17+12.18</f>
        <v>31.35</v>
      </c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>
        <v>24.03</v>
      </c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8">
        <f t="shared" si="9"/>
        <v>79.010000000000005</v>
      </c>
      <c r="AZ228" s="4">
        <f t="shared" si="8"/>
        <v>0</v>
      </c>
    </row>
    <row r="229" spans="1:52">
      <c r="A229" s="11">
        <v>43853</v>
      </c>
      <c r="B229" s="70" t="s">
        <v>513</v>
      </c>
      <c r="C229" s="12"/>
      <c r="D229" s="36" t="s">
        <v>95</v>
      </c>
      <c r="E229" s="24" t="s">
        <v>512</v>
      </c>
      <c r="G229" s="21" t="s">
        <v>353</v>
      </c>
      <c r="H229" s="66">
        <v>22.05</v>
      </c>
      <c r="I229" s="17"/>
      <c r="J229" s="18"/>
      <c r="K229" s="18"/>
      <c r="L229" s="18"/>
      <c r="M229" s="18">
        <v>22.05</v>
      </c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8">
        <f t="shared" si="9"/>
        <v>22.05</v>
      </c>
      <c r="AZ229" s="4">
        <f t="shared" si="8"/>
        <v>0</v>
      </c>
    </row>
    <row r="230" spans="1:52">
      <c r="A230" s="69">
        <v>43853</v>
      </c>
      <c r="B230" s="68" t="s">
        <v>514</v>
      </c>
      <c r="C230" s="12"/>
      <c r="D230" s="36" t="s">
        <v>203</v>
      </c>
      <c r="E230" s="24" t="s">
        <v>515</v>
      </c>
      <c r="G230" s="21" t="s">
        <v>353</v>
      </c>
      <c r="H230" s="66">
        <v>60</v>
      </c>
      <c r="I230" s="24">
        <v>10</v>
      </c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>
        <v>50</v>
      </c>
      <c r="AU230" s="18"/>
      <c r="AV230" s="18"/>
      <c r="AW230" s="18"/>
      <c r="AX230" s="18"/>
      <c r="AY230" s="8">
        <f t="shared" si="9"/>
        <v>60</v>
      </c>
      <c r="AZ230" s="4">
        <f t="shared" si="8"/>
        <v>0</v>
      </c>
    </row>
    <row r="231" spans="1:52">
      <c r="A231" s="69">
        <v>43853</v>
      </c>
      <c r="B231" s="68" t="s">
        <v>516</v>
      </c>
      <c r="C231" s="12"/>
      <c r="D231" s="24" t="s">
        <v>517</v>
      </c>
      <c r="E231" s="24" t="s">
        <v>518</v>
      </c>
      <c r="G231" s="21" t="s">
        <v>353</v>
      </c>
      <c r="H231" s="66">
        <v>919.2</v>
      </c>
      <c r="I231" s="24">
        <v>153.19999999999999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>
        <v>766</v>
      </c>
      <c r="AW231" s="18"/>
      <c r="AX231" s="18"/>
      <c r="AY231" s="8">
        <f t="shared" si="9"/>
        <v>919.2</v>
      </c>
      <c r="AZ231" s="4">
        <f t="shared" si="8"/>
        <v>0</v>
      </c>
    </row>
    <row r="232" spans="1:52">
      <c r="A232" s="11">
        <v>43853</v>
      </c>
      <c r="B232" s="70" t="s">
        <v>519</v>
      </c>
      <c r="C232" s="12"/>
      <c r="D232" s="24" t="s">
        <v>203</v>
      </c>
      <c r="E232" s="24" t="s">
        <v>520</v>
      </c>
      <c r="G232" s="21" t="s">
        <v>353</v>
      </c>
      <c r="H232" s="66">
        <v>1434</v>
      </c>
      <c r="I232" s="17">
        <v>239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>
        <v>70</v>
      </c>
      <c r="AU232" s="18">
        <v>1125</v>
      </c>
      <c r="AV232" s="18"/>
      <c r="AW232" s="18"/>
      <c r="AX232" s="18"/>
      <c r="AY232" s="8">
        <f t="shared" si="9"/>
        <v>1434</v>
      </c>
      <c r="AZ232" s="4">
        <f t="shared" si="8"/>
        <v>0</v>
      </c>
    </row>
    <row r="233" spans="1:52">
      <c r="A233" s="69">
        <v>43853</v>
      </c>
      <c r="B233" s="68" t="s">
        <v>521</v>
      </c>
      <c r="C233" s="12"/>
      <c r="D233" s="20" t="s">
        <v>522</v>
      </c>
      <c r="E233" s="20" t="s">
        <v>523</v>
      </c>
      <c r="G233" s="21" t="s">
        <v>353</v>
      </c>
      <c r="H233" s="66">
        <v>1200</v>
      </c>
      <c r="I233" s="26">
        <v>200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>
        <v>1000</v>
      </c>
      <c r="AW233" s="18"/>
      <c r="AX233" s="18"/>
      <c r="AY233" s="8">
        <f t="shared" si="9"/>
        <v>1200</v>
      </c>
      <c r="AZ233" s="4">
        <f t="shared" si="8"/>
        <v>0</v>
      </c>
    </row>
    <row r="234" spans="1:52">
      <c r="A234" s="11">
        <v>43853</v>
      </c>
      <c r="B234" s="70" t="s">
        <v>524</v>
      </c>
      <c r="C234" s="82"/>
      <c r="D234" s="24" t="s">
        <v>525</v>
      </c>
      <c r="E234" s="24" t="s">
        <v>526</v>
      </c>
      <c r="G234" s="21" t="s">
        <v>353</v>
      </c>
      <c r="H234" s="81">
        <v>20</v>
      </c>
      <c r="I234" s="26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>
        <v>20</v>
      </c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8">
        <f t="shared" si="9"/>
        <v>20</v>
      </c>
      <c r="AZ234" s="4">
        <f t="shared" si="8"/>
        <v>0</v>
      </c>
    </row>
    <row r="235" spans="1:52">
      <c r="A235" s="69">
        <v>43853</v>
      </c>
      <c r="B235" s="68" t="s">
        <v>527</v>
      </c>
      <c r="C235" s="82" t="s">
        <v>528</v>
      </c>
      <c r="D235" s="24" t="s">
        <v>529</v>
      </c>
      <c r="E235" s="24" t="s">
        <v>530</v>
      </c>
      <c r="G235" s="21" t="s">
        <v>353</v>
      </c>
      <c r="H235" s="81">
        <f>277.2+43.2</f>
        <v>320.39999999999998</v>
      </c>
      <c r="I235" s="26">
        <f>46.2+7.2</f>
        <v>53.400000000000006</v>
      </c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>
        <f>231+36</f>
        <v>267</v>
      </c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8">
        <f t="shared" si="9"/>
        <v>320.39999999999998</v>
      </c>
      <c r="AZ235" s="4">
        <f t="shared" si="8"/>
        <v>0</v>
      </c>
    </row>
    <row r="236" spans="1:52">
      <c r="A236" s="11">
        <v>43853</v>
      </c>
      <c r="B236" s="70" t="s">
        <v>531</v>
      </c>
      <c r="C236" s="12"/>
      <c r="D236" s="24" t="s">
        <v>114</v>
      </c>
      <c r="E236" s="24" t="s">
        <v>532</v>
      </c>
      <c r="G236" s="21" t="s">
        <v>353</v>
      </c>
      <c r="H236" s="81">
        <v>8.75</v>
      </c>
      <c r="I236" s="26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>
        <v>8.75</v>
      </c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8">
        <f t="shared" si="9"/>
        <v>8.75</v>
      </c>
      <c r="AZ236" s="4">
        <f t="shared" si="8"/>
        <v>0</v>
      </c>
    </row>
    <row r="237" spans="1:52">
      <c r="A237" s="69">
        <v>43853</v>
      </c>
      <c r="B237" s="68" t="s">
        <v>533</v>
      </c>
      <c r="C237" s="12"/>
      <c r="D237" s="24" t="s">
        <v>142</v>
      </c>
      <c r="E237" s="24" t="s">
        <v>534</v>
      </c>
      <c r="G237" s="21" t="s">
        <v>353</v>
      </c>
      <c r="H237" s="81">
        <v>17.96</v>
      </c>
      <c r="I237" s="26">
        <v>2.99</v>
      </c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>
        <v>14.97</v>
      </c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8">
        <f t="shared" si="9"/>
        <v>17.96</v>
      </c>
      <c r="AZ237" s="4">
        <f t="shared" si="8"/>
        <v>0</v>
      </c>
    </row>
    <row r="238" spans="1:52">
      <c r="A238" s="69">
        <v>43853</v>
      </c>
      <c r="B238" s="68" t="s">
        <v>535</v>
      </c>
      <c r="C238" s="12"/>
      <c r="D238" s="24" t="s">
        <v>332</v>
      </c>
      <c r="E238" s="24" t="s">
        <v>536</v>
      </c>
      <c r="G238" s="21" t="s">
        <v>353</v>
      </c>
      <c r="H238" s="66">
        <v>742.8</v>
      </c>
      <c r="I238" s="17">
        <v>123.8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>
        <v>619</v>
      </c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8">
        <f t="shared" si="9"/>
        <v>742.8</v>
      </c>
      <c r="AZ238" s="4">
        <f t="shared" si="8"/>
        <v>0</v>
      </c>
    </row>
    <row r="239" spans="1:52">
      <c r="A239" s="11">
        <v>43854</v>
      </c>
      <c r="B239" s="70"/>
      <c r="C239" s="12"/>
      <c r="D239" s="24" t="s">
        <v>144</v>
      </c>
      <c r="E239" s="24" t="s">
        <v>537</v>
      </c>
      <c r="G239" s="21" t="s">
        <v>353</v>
      </c>
      <c r="H239" s="81">
        <v>13.48</v>
      </c>
      <c r="I239" s="26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>
        <v>13.48</v>
      </c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8">
        <f t="shared" si="9"/>
        <v>13.48</v>
      </c>
      <c r="AZ239" s="4">
        <f t="shared" si="8"/>
        <v>0</v>
      </c>
    </row>
    <row r="240" spans="1:52">
      <c r="A240" s="11">
        <v>43857</v>
      </c>
      <c r="B240" s="70"/>
      <c r="C240" s="31"/>
      <c r="D240" s="24" t="s">
        <v>175</v>
      </c>
      <c r="E240" s="24"/>
      <c r="G240" s="21" t="s">
        <v>353</v>
      </c>
      <c r="H240" s="81">
        <v>352.65</v>
      </c>
      <c r="I240" s="24">
        <v>6.35</v>
      </c>
      <c r="J240" s="18"/>
      <c r="K240" s="18"/>
      <c r="L240" s="18"/>
      <c r="M240" s="18"/>
      <c r="N240" s="18"/>
      <c r="O240" s="18"/>
      <c r="P240" s="18"/>
      <c r="Q240" s="18"/>
      <c r="R240" s="18">
        <v>90.3</v>
      </c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>
        <v>256</v>
      </c>
      <c r="AW240" s="18"/>
      <c r="AX240" s="18"/>
      <c r="AY240" s="8">
        <f t="shared" si="9"/>
        <v>352.65</v>
      </c>
      <c r="AZ240" s="4">
        <f t="shared" si="8"/>
        <v>0</v>
      </c>
    </row>
    <row r="241" spans="1:52">
      <c r="A241" s="11">
        <v>43860</v>
      </c>
      <c r="B241" s="70"/>
      <c r="C241" s="31"/>
      <c r="D241" s="24" t="s">
        <v>144</v>
      </c>
      <c r="E241" s="24" t="s">
        <v>538</v>
      </c>
      <c r="G241" s="21" t="s">
        <v>353</v>
      </c>
      <c r="H241" s="81">
        <v>89.94</v>
      </c>
      <c r="I241" s="24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>
        <v>89.94</v>
      </c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8">
        <f t="shared" si="9"/>
        <v>89.94</v>
      </c>
      <c r="AZ241" s="4">
        <f t="shared" si="8"/>
        <v>0</v>
      </c>
    </row>
    <row r="242" spans="1:52">
      <c r="A242" s="11">
        <v>43861</v>
      </c>
      <c r="B242" s="70"/>
      <c r="C242" s="12"/>
      <c r="D242" s="36" t="s">
        <v>84</v>
      </c>
      <c r="E242" s="36" t="s">
        <v>85</v>
      </c>
      <c r="G242" s="21" t="s">
        <v>353</v>
      </c>
      <c r="H242" s="66">
        <v>7</v>
      </c>
      <c r="I242" s="24"/>
      <c r="J242" s="18"/>
      <c r="K242" s="18"/>
      <c r="L242" s="18"/>
      <c r="M242" s="18"/>
      <c r="N242" s="18"/>
      <c r="O242" s="18"/>
      <c r="P242" s="18"/>
      <c r="Q242" s="18"/>
      <c r="R242" s="18">
        <v>7</v>
      </c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8">
        <f t="shared" si="9"/>
        <v>7</v>
      </c>
      <c r="AZ242" s="4">
        <f t="shared" si="8"/>
        <v>0</v>
      </c>
    </row>
    <row r="243" spans="1:52">
      <c r="A243" s="11">
        <v>43861</v>
      </c>
      <c r="B243" s="19" t="s">
        <v>539</v>
      </c>
      <c r="C243" s="31"/>
      <c r="D243" s="20" t="s">
        <v>46</v>
      </c>
      <c r="E243" s="20" t="s">
        <v>540</v>
      </c>
      <c r="G243" s="21" t="s">
        <v>353</v>
      </c>
      <c r="H243" s="22">
        <v>791.55</v>
      </c>
      <c r="I243" s="17"/>
      <c r="J243" s="18"/>
      <c r="K243" s="18">
        <f>H243</f>
        <v>791.55</v>
      </c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8">
        <f t="shared" si="9"/>
        <v>791.55</v>
      </c>
      <c r="AZ243" s="4">
        <f t="shared" si="8"/>
        <v>0</v>
      </c>
    </row>
    <row r="244" spans="1:52">
      <c r="A244" s="11">
        <v>43861</v>
      </c>
      <c r="B244" s="68" t="s">
        <v>541</v>
      </c>
      <c r="C244" s="19"/>
      <c r="D244" s="20" t="s">
        <v>117</v>
      </c>
      <c r="E244" s="20" t="s">
        <v>300</v>
      </c>
      <c r="G244" s="21" t="s">
        <v>353</v>
      </c>
      <c r="H244" s="22">
        <v>974.73</v>
      </c>
      <c r="I244" s="24"/>
      <c r="J244" s="18"/>
      <c r="K244" s="18"/>
      <c r="L244" s="18">
        <f>H244</f>
        <v>974.73</v>
      </c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8">
        <f t="shared" si="9"/>
        <v>974.73</v>
      </c>
      <c r="AZ244" s="4">
        <f t="shared" si="8"/>
        <v>0</v>
      </c>
    </row>
    <row r="245" spans="1:52" s="51" customFormat="1">
      <c r="A245" s="47">
        <v>43864</v>
      </c>
      <c r="B245" s="60" t="s">
        <v>542</v>
      </c>
      <c r="C245" s="60" t="s">
        <v>79</v>
      </c>
      <c r="D245" s="61" t="s">
        <v>80</v>
      </c>
      <c r="E245" s="61" t="s">
        <v>543</v>
      </c>
      <c r="G245" s="62" t="s">
        <v>353</v>
      </c>
      <c r="H245" s="63">
        <v>1967.67</v>
      </c>
      <c r="I245" s="54"/>
      <c r="J245" s="55">
        <f>H245</f>
        <v>1967.67</v>
      </c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6">
        <f t="shared" si="9"/>
        <v>1967.67</v>
      </c>
      <c r="AZ245" s="51">
        <f t="shared" si="8"/>
        <v>0</v>
      </c>
    </row>
    <row r="246" spans="1:52" s="41" customFormat="1">
      <c r="A246" s="38">
        <v>43864</v>
      </c>
      <c r="B246" s="88" t="s">
        <v>544</v>
      </c>
      <c r="C246" s="57"/>
      <c r="D246" s="89" t="s">
        <v>545</v>
      </c>
      <c r="E246" s="89" t="s">
        <v>546</v>
      </c>
      <c r="G246" s="42" t="s">
        <v>353</v>
      </c>
      <c r="H246" s="90">
        <v>7710</v>
      </c>
      <c r="I246" s="89">
        <v>1285</v>
      </c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>
        <v>6425</v>
      </c>
      <c r="AW246" s="45"/>
      <c r="AX246" s="45"/>
      <c r="AY246" s="46">
        <f>SUM(I246:AX246)</f>
        <v>7710</v>
      </c>
      <c r="AZ246" s="41">
        <f>AY246-H246</f>
        <v>0</v>
      </c>
    </row>
    <row r="247" spans="1:52">
      <c r="A247" s="11">
        <v>43865</v>
      </c>
      <c r="B247" s="70" t="s">
        <v>547</v>
      </c>
      <c r="C247" s="31" t="s">
        <v>83</v>
      </c>
      <c r="D247" s="24" t="s">
        <v>355</v>
      </c>
      <c r="E247" s="24" t="s">
        <v>548</v>
      </c>
      <c r="G247" s="21" t="s">
        <v>353</v>
      </c>
      <c r="H247" s="81">
        <v>40.130000000000003</v>
      </c>
      <c r="I247" s="24">
        <v>6.69</v>
      </c>
      <c r="J247" s="18"/>
      <c r="K247" s="18"/>
      <c r="L247" s="18"/>
      <c r="M247" s="18"/>
      <c r="N247" s="18">
        <v>33.44</v>
      </c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8">
        <f>SUM(I247:AX247)</f>
        <v>40.129999999999995</v>
      </c>
      <c r="AZ247" s="4">
        <f>AY247-H247</f>
        <v>0</v>
      </c>
    </row>
    <row r="248" spans="1:52">
      <c r="A248" s="11">
        <v>43867</v>
      </c>
      <c r="B248" s="70" t="s">
        <v>549</v>
      </c>
      <c r="C248" s="12"/>
      <c r="D248" s="36" t="s">
        <v>550</v>
      </c>
      <c r="E248" s="36" t="s">
        <v>551</v>
      </c>
      <c r="G248" s="21" t="s">
        <v>353</v>
      </c>
      <c r="H248" s="66">
        <v>57.7</v>
      </c>
      <c r="I248" s="24">
        <v>57.7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8">
        <f t="shared" ref="AY248:AY273" si="10">SUM(I248:AX248)</f>
        <v>57.7</v>
      </c>
      <c r="AZ248" s="4">
        <f t="shared" ref="AZ248:AZ273" si="11">AY248-H248</f>
        <v>0</v>
      </c>
    </row>
    <row r="249" spans="1:52">
      <c r="A249" s="11">
        <v>43878</v>
      </c>
      <c r="B249" s="70" t="s">
        <v>552</v>
      </c>
      <c r="C249" s="31" t="s">
        <v>83</v>
      </c>
      <c r="D249" s="24" t="s">
        <v>88</v>
      </c>
      <c r="E249" s="24" t="s">
        <v>553</v>
      </c>
      <c r="G249" s="21" t="s">
        <v>353</v>
      </c>
      <c r="H249" s="81">
        <v>568.04</v>
      </c>
      <c r="I249" s="24">
        <v>94.67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>
        <v>473.37</v>
      </c>
      <c r="AU249" s="18"/>
      <c r="AV249" s="18"/>
      <c r="AW249" s="18"/>
      <c r="AX249" s="18"/>
      <c r="AY249" s="8">
        <f t="shared" si="10"/>
        <v>568.04</v>
      </c>
      <c r="AZ249" s="4">
        <f t="shared" si="11"/>
        <v>0</v>
      </c>
    </row>
    <row r="250" spans="1:52">
      <c r="A250" s="11">
        <v>43887</v>
      </c>
      <c r="B250" s="70" t="s">
        <v>554</v>
      </c>
      <c r="C250" s="31" t="s">
        <v>83</v>
      </c>
      <c r="D250" s="24" t="s">
        <v>175</v>
      </c>
      <c r="E250" s="24" t="s">
        <v>555</v>
      </c>
      <c r="G250" s="21" t="s">
        <v>353</v>
      </c>
      <c r="H250" s="81">
        <v>123.19</v>
      </c>
      <c r="I250" s="24"/>
      <c r="J250" s="18"/>
      <c r="K250" s="18"/>
      <c r="L250" s="18"/>
      <c r="M250" s="18"/>
      <c r="N250" s="18"/>
      <c r="O250" s="18"/>
      <c r="P250" s="18"/>
      <c r="Q250" s="18"/>
      <c r="R250" s="18">
        <v>123.19</v>
      </c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8">
        <f t="shared" si="10"/>
        <v>123.19</v>
      </c>
      <c r="AZ250" s="4">
        <f t="shared" si="11"/>
        <v>0</v>
      </c>
    </row>
    <row r="251" spans="1:52">
      <c r="A251" s="11">
        <v>43888</v>
      </c>
      <c r="B251" s="70" t="s">
        <v>556</v>
      </c>
      <c r="C251" s="31"/>
      <c r="D251" s="24" t="s">
        <v>95</v>
      </c>
      <c r="E251" s="24" t="s">
        <v>543</v>
      </c>
      <c r="G251" s="21" t="s">
        <v>353</v>
      </c>
      <c r="H251" s="22">
        <v>651.99</v>
      </c>
      <c r="I251" s="24"/>
      <c r="J251" s="18">
        <v>651.99</v>
      </c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8">
        <f t="shared" si="10"/>
        <v>651.99</v>
      </c>
      <c r="AZ251" s="4">
        <f t="shared" si="11"/>
        <v>0</v>
      </c>
    </row>
    <row r="252" spans="1:52">
      <c r="A252" s="11">
        <v>43888</v>
      </c>
      <c r="B252" s="70" t="s">
        <v>557</v>
      </c>
      <c r="C252" s="91" t="s">
        <v>558</v>
      </c>
      <c r="D252" s="36" t="s">
        <v>97</v>
      </c>
      <c r="E252" s="24" t="s">
        <v>504</v>
      </c>
      <c r="G252" s="21" t="s">
        <v>353</v>
      </c>
      <c r="H252" s="81">
        <v>90</v>
      </c>
      <c r="I252" s="24"/>
      <c r="J252" s="18"/>
      <c r="K252" s="18"/>
      <c r="L252" s="18"/>
      <c r="M252" s="18"/>
      <c r="N252" s="18"/>
      <c r="O252" s="18"/>
      <c r="P252" s="18"/>
      <c r="Q252" s="18"/>
      <c r="R252" s="18"/>
      <c r="S252" s="18">
        <v>90</v>
      </c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8">
        <f t="shared" si="10"/>
        <v>90</v>
      </c>
      <c r="AZ252" s="4">
        <f t="shared" si="11"/>
        <v>0</v>
      </c>
    </row>
    <row r="253" spans="1:52">
      <c r="A253" s="11">
        <v>43888</v>
      </c>
      <c r="B253" s="70" t="s">
        <v>559</v>
      </c>
      <c r="C253" s="12"/>
      <c r="D253" s="36" t="s">
        <v>100</v>
      </c>
      <c r="E253" s="24" t="s">
        <v>560</v>
      </c>
      <c r="G253" s="21" t="s">
        <v>353</v>
      </c>
      <c r="H253" s="66">
        <v>104.67</v>
      </c>
      <c r="I253" s="24"/>
      <c r="J253" s="18"/>
      <c r="K253" s="18"/>
      <c r="L253" s="18"/>
      <c r="M253" s="18"/>
      <c r="N253" s="18"/>
      <c r="O253" s="18"/>
      <c r="P253" s="18"/>
      <c r="Q253" s="18"/>
      <c r="R253" s="18">
        <v>41.67</v>
      </c>
      <c r="S253" s="18">
        <v>63</v>
      </c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8">
        <f t="shared" si="10"/>
        <v>104.67</v>
      </c>
      <c r="AZ253" s="4">
        <f t="shared" si="11"/>
        <v>0</v>
      </c>
    </row>
    <row r="254" spans="1:52">
      <c r="A254" s="11">
        <v>43888</v>
      </c>
      <c r="B254" s="70" t="s">
        <v>561</v>
      </c>
      <c r="C254" s="12"/>
      <c r="D254" s="36" t="s">
        <v>103</v>
      </c>
      <c r="E254" s="24" t="s">
        <v>562</v>
      </c>
      <c r="G254" s="21"/>
      <c r="H254" s="66">
        <v>673.99</v>
      </c>
      <c r="I254" s="24">
        <v>112.33</v>
      </c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>
        <f>192.78</f>
        <v>192.78</v>
      </c>
      <c r="AB254" s="18">
        <f>23.51+23.51</f>
        <v>47.02</v>
      </c>
      <c r="AC254" s="18">
        <f>23.51+108.14</f>
        <v>131.65</v>
      </c>
      <c r="AD254" s="18">
        <v>147.16</v>
      </c>
      <c r="AE254" s="18">
        <v>43.05</v>
      </c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8">
        <f t="shared" si="10"/>
        <v>673.9899999999999</v>
      </c>
      <c r="AZ254" s="4">
        <f t="shared" si="11"/>
        <v>0</v>
      </c>
    </row>
    <row r="255" spans="1:52">
      <c r="A255" s="11">
        <v>43888</v>
      </c>
      <c r="B255" s="70" t="s">
        <v>563</v>
      </c>
      <c r="C255" s="12"/>
      <c r="D255" s="24" t="s">
        <v>106</v>
      </c>
      <c r="E255" s="24" t="s">
        <v>564</v>
      </c>
      <c r="G255" s="21" t="s">
        <v>353</v>
      </c>
      <c r="H255" s="66">
        <v>441</v>
      </c>
      <c r="I255" s="24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>
        <v>441</v>
      </c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8">
        <f t="shared" si="10"/>
        <v>441</v>
      </c>
      <c r="AZ255" s="4">
        <f t="shared" si="11"/>
        <v>0</v>
      </c>
    </row>
    <row r="256" spans="1:52">
      <c r="A256" s="11">
        <v>43888</v>
      </c>
      <c r="B256" s="70" t="s">
        <v>565</v>
      </c>
      <c r="C256" s="12"/>
      <c r="D256" s="36" t="s">
        <v>80</v>
      </c>
      <c r="E256" s="24" t="s">
        <v>566</v>
      </c>
      <c r="G256" s="21" t="s">
        <v>353</v>
      </c>
      <c r="H256" s="66">
        <v>56.35</v>
      </c>
      <c r="I256" s="24">
        <v>5.0999999999999996</v>
      </c>
      <c r="J256" s="18"/>
      <c r="K256" s="18"/>
      <c r="L256" s="18"/>
      <c r="M256" s="18">
        <v>13.5</v>
      </c>
      <c r="N256" s="18"/>
      <c r="O256" s="18">
        <f>25.37+12.18+0.2</f>
        <v>37.75</v>
      </c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8">
        <f t="shared" si="10"/>
        <v>56.35</v>
      </c>
      <c r="AZ256" s="4">
        <f t="shared" si="11"/>
        <v>0</v>
      </c>
    </row>
    <row r="257" spans="1:52">
      <c r="A257" s="11">
        <v>43888</v>
      </c>
      <c r="B257" s="70" t="s">
        <v>567</v>
      </c>
      <c r="C257" s="82"/>
      <c r="D257" s="36" t="s">
        <v>95</v>
      </c>
      <c r="E257" s="24" t="s">
        <v>566</v>
      </c>
      <c r="F257" s="86"/>
      <c r="G257" s="21" t="s">
        <v>353</v>
      </c>
      <c r="H257" s="66">
        <v>24.6</v>
      </c>
      <c r="I257" s="24"/>
      <c r="J257" s="18"/>
      <c r="K257" s="18"/>
      <c r="L257" s="18"/>
      <c r="M257" s="18">
        <v>12.6</v>
      </c>
      <c r="N257" s="71"/>
      <c r="O257" s="18"/>
      <c r="P257" s="18"/>
      <c r="Q257" s="18"/>
      <c r="R257" s="18">
        <v>12</v>
      </c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8">
        <f t="shared" si="10"/>
        <v>24.6</v>
      </c>
      <c r="AZ257" s="4">
        <f t="shared" si="11"/>
        <v>0</v>
      </c>
    </row>
    <row r="258" spans="1:52">
      <c r="A258" s="11">
        <v>43888</v>
      </c>
      <c r="B258" s="70" t="s">
        <v>568</v>
      </c>
      <c r="C258" s="82" t="s">
        <v>569</v>
      </c>
      <c r="D258" s="20" t="s">
        <v>203</v>
      </c>
      <c r="E258" s="20" t="s">
        <v>570</v>
      </c>
      <c r="F258" s="92"/>
      <c r="G258" s="21" t="s">
        <v>353</v>
      </c>
      <c r="H258" s="66">
        <v>120</v>
      </c>
      <c r="I258" s="26">
        <v>20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>
        <v>100</v>
      </c>
      <c r="AU258" s="18"/>
      <c r="AV258" s="18"/>
      <c r="AW258" s="18"/>
      <c r="AX258" s="18"/>
      <c r="AY258" s="8">
        <f t="shared" si="10"/>
        <v>120</v>
      </c>
      <c r="AZ258" s="4">
        <f t="shared" si="11"/>
        <v>0</v>
      </c>
    </row>
    <row r="259" spans="1:52">
      <c r="A259" s="11">
        <v>43888</v>
      </c>
      <c r="B259" s="70" t="s">
        <v>571</v>
      </c>
      <c r="C259" s="12"/>
      <c r="D259" s="20" t="s">
        <v>572</v>
      </c>
      <c r="E259" s="20" t="s">
        <v>573</v>
      </c>
      <c r="G259" s="21" t="s">
        <v>353</v>
      </c>
      <c r="H259" s="66">
        <v>25</v>
      </c>
      <c r="I259" s="24"/>
      <c r="J259" s="18"/>
      <c r="K259" s="18"/>
      <c r="L259" s="18"/>
      <c r="M259" s="18"/>
      <c r="N259" s="71"/>
      <c r="O259" s="18"/>
      <c r="P259" s="18"/>
      <c r="Q259" s="18"/>
      <c r="R259" s="18"/>
      <c r="S259" s="18"/>
      <c r="T259" s="18"/>
      <c r="U259" s="18">
        <v>25</v>
      </c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8">
        <f t="shared" si="10"/>
        <v>25</v>
      </c>
      <c r="AZ259" s="4">
        <f t="shared" si="11"/>
        <v>0</v>
      </c>
    </row>
    <row r="260" spans="1:52">
      <c r="A260" s="11">
        <v>43888</v>
      </c>
      <c r="B260" s="70" t="s">
        <v>574</v>
      </c>
      <c r="C260" s="12"/>
      <c r="D260" s="36" t="s">
        <v>196</v>
      </c>
      <c r="E260" s="36" t="s">
        <v>575</v>
      </c>
      <c r="G260" s="21" t="s">
        <v>353</v>
      </c>
      <c r="H260" s="66">
        <v>50</v>
      </c>
      <c r="I260" s="24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>
        <v>50</v>
      </c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8">
        <f t="shared" si="10"/>
        <v>50</v>
      </c>
      <c r="AZ260" s="4">
        <f t="shared" si="11"/>
        <v>0</v>
      </c>
    </row>
    <row r="261" spans="1:52">
      <c r="A261" s="11">
        <v>43888</v>
      </c>
      <c r="B261" s="70" t="s">
        <v>576</v>
      </c>
      <c r="C261" s="12"/>
      <c r="D261" s="20" t="s">
        <v>577</v>
      </c>
      <c r="E261" s="20" t="s">
        <v>578</v>
      </c>
      <c r="G261" s="21" t="s">
        <v>353</v>
      </c>
      <c r="H261" s="16">
        <v>4099.2</v>
      </c>
      <c r="I261" s="17">
        <v>683.2</v>
      </c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>
        <v>3416</v>
      </c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8">
        <f t="shared" si="10"/>
        <v>4099.2</v>
      </c>
      <c r="AZ261" s="4">
        <f t="shared" si="11"/>
        <v>0</v>
      </c>
    </row>
    <row r="262" spans="1:52">
      <c r="A262" s="11">
        <v>43888</v>
      </c>
      <c r="B262" s="70" t="s">
        <v>579</v>
      </c>
      <c r="C262" s="12"/>
      <c r="D262" s="20" t="s">
        <v>580</v>
      </c>
      <c r="E262" s="20" t="s">
        <v>581</v>
      </c>
      <c r="G262" s="21" t="s">
        <v>353</v>
      </c>
      <c r="H262" s="16">
        <v>353.76</v>
      </c>
      <c r="I262" s="17">
        <v>58.96</v>
      </c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>
        <v>294.8</v>
      </c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8">
        <f t="shared" si="10"/>
        <v>353.76</v>
      </c>
      <c r="AZ262" s="4">
        <f t="shared" si="11"/>
        <v>0</v>
      </c>
    </row>
    <row r="263" spans="1:52">
      <c r="A263" s="11">
        <v>43888</v>
      </c>
      <c r="B263" s="70" t="s">
        <v>582</v>
      </c>
      <c r="C263" s="12"/>
      <c r="D263" s="20" t="s">
        <v>529</v>
      </c>
      <c r="E263" s="20" t="s">
        <v>583</v>
      </c>
      <c r="G263" s="21" t="s">
        <v>353</v>
      </c>
      <c r="H263" s="16">
        <v>38.4</v>
      </c>
      <c r="I263" s="17">
        <v>6.4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>
        <v>32</v>
      </c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8">
        <f t="shared" si="10"/>
        <v>38.4</v>
      </c>
      <c r="AZ263" s="4">
        <f t="shared" si="11"/>
        <v>0</v>
      </c>
    </row>
    <row r="264" spans="1:52">
      <c r="A264" s="11">
        <v>43888</v>
      </c>
      <c r="B264" s="70" t="s">
        <v>584</v>
      </c>
      <c r="C264" s="12"/>
      <c r="D264" s="20" t="s">
        <v>129</v>
      </c>
      <c r="E264" s="20" t="s">
        <v>585</v>
      </c>
      <c r="G264" s="21" t="s">
        <v>353</v>
      </c>
      <c r="H264" s="16">
        <v>36</v>
      </c>
      <c r="I264" s="17">
        <v>6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>
        <v>30</v>
      </c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8">
        <f t="shared" si="10"/>
        <v>36</v>
      </c>
      <c r="AZ264" s="4">
        <f t="shared" si="11"/>
        <v>0</v>
      </c>
    </row>
    <row r="265" spans="1:52">
      <c r="A265" s="11">
        <v>43888</v>
      </c>
      <c r="B265" s="70" t="s">
        <v>586</v>
      </c>
      <c r="C265" s="12"/>
      <c r="D265" s="20" t="s">
        <v>123</v>
      </c>
      <c r="E265" s="20" t="s">
        <v>587</v>
      </c>
      <c r="G265" s="21" t="s">
        <v>353</v>
      </c>
      <c r="H265" s="16">
        <v>440</v>
      </c>
      <c r="I265" s="17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>
        <v>440</v>
      </c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8">
        <f t="shared" si="10"/>
        <v>440</v>
      </c>
      <c r="AZ265" s="4">
        <f t="shared" si="11"/>
        <v>0</v>
      </c>
    </row>
    <row r="266" spans="1:52">
      <c r="A266" s="11">
        <v>43888</v>
      </c>
      <c r="B266" s="70" t="s">
        <v>588</v>
      </c>
      <c r="C266" s="12"/>
      <c r="D266" s="20" t="s">
        <v>487</v>
      </c>
      <c r="E266" s="20" t="s">
        <v>589</v>
      </c>
      <c r="G266" s="21" t="s">
        <v>353</v>
      </c>
      <c r="H266" s="16">
        <v>102</v>
      </c>
      <c r="I266" s="17">
        <v>17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>
        <v>45</v>
      </c>
      <c r="Z266" s="18"/>
      <c r="AA266" s="18"/>
      <c r="AB266" s="18"/>
      <c r="AC266" s="18"/>
      <c r="AD266" s="18"/>
      <c r="AE266" s="18"/>
      <c r="AF266" s="18"/>
      <c r="AG266" s="18"/>
      <c r="AH266" s="18">
        <v>40</v>
      </c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8">
        <f t="shared" si="10"/>
        <v>102</v>
      </c>
      <c r="AZ266" s="4">
        <f t="shared" si="11"/>
        <v>0</v>
      </c>
    </row>
    <row r="267" spans="1:52">
      <c r="A267" s="11">
        <v>43888</v>
      </c>
      <c r="B267" s="70" t="s">
        <v>590</v>
      </c>
      <c r="C267" s="12"/>
      <c r="D267" s="20" t="s">
        <v>591</v>
      </c>
      <c r="E267" s="20" t="s">
        <v>592</v>
      </c>
      <c r="G267" s="21" t="s">
        <v>353</v>
      </c>
      <c r="H267" s="16">
        <v>22.08</v>
      </c>
      <c r="I267" s="17">
        <v>3.68</v>
      </c>
      <c r="J267" s="18"/>
      <c r="K267" s="18"/>
      <c r="L267" s="18"/>
      <c r="M267" s="18"/>
      <c r="N267" s="18"/>
      <c r="O267" s="18"/>
      <c r="P267" s="18"/>
      <c r="Q267" s="18"/>
      <c r="R267" s="18">
        <v>18.399999999999999</v>
      </c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8">
        <f t="shared" si="10"/>
        <v>22.08</v>
      </c>
      <c r="AZ267" s="4">
        <f t="shared" si="11"/>
        <v>0</v>
      </c>
    </row>
    <row r="268" spans="1:52">
      <c r="A268" s="11">
        <v>43888</v>
      </c>
      <c r="B268" s="70" t="s">
        <v>593</v>
      </c>
      <c r="C268" s="12"/>
      <c r="D268" s="20" t="s">
        <v>257</v>
      </c>
      <c r="E268" s="20" t="s">
        <v>594</v>
      </c>
      <c r="G268" s="21" t="s">
        <v>353</v>
      </c>
      <c r="H268" s="16">
        <v>1752</v>
      </c>
      <c r="I268" s="17">
        <v>292</v>
      </c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>
        <v>1460</v>
      </c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8">
        <f t="shared" si="10"/>
        <v>1752</v>
      </c>
      <c r="AZ268" s="4">
        <f t="shared" si="11"/>
        <v>0</v>
      </c>
    </row>
    <row r="269" spans="1:52">
      <c r="A269" s="11">
        <v>43889</v>
      </c>
      <c r="B269" s="70" t="s">
        <v>595</v>
      </c>
      <c r="C269" s="12"/>
      <c r="D269" s="20" t="s">
        <v>545</v>
      </c>
      <c r="E269" s="20" t="s">
        <v>596</v>
      </c>
      <c r="G269" s="21" t="s">
        <v>353</v>
      </c>
      <c r="H269" s="16">
        <v>7710</v>
      </c>
      <c r="I269" s="17">
        <v>1285</v>
      </c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>
        <v>6425</v>
      </c>
      <c r="AW269" s="18"/>
      <c r="AX269" s="18"/>
      <c r="AY269" s="8">
        <f t="shared" si="10"/>
        <v>7710</v>
      </c>
      <c r="AZ269" s="4">
        <f t="shared" si="11"/>
        <v>0</v>
      </c>
    </row>
    <row r="270" spans="1:52">
      <c r="A270" s="11">
        <v>43889</v>
      </c>
      <c r="B270" s="19" t="s">
        <v>597</v>
      </c>
      <c r="C270" s="31"/>
      <c r="D270" s="20" t="s">
        <v>46</v>
      </c>
      <c r="E270" s="20" t="s">
        <v>598</v>
      </c>
      <c r="G270" s="21"/>
      <c r="H270" s="22">
        <v>791.35</v>
      </c>
      <c r="I270" s="17"/>
      <c r="J270" s="18"/>
      <c r="K270" s="18">
        <f>H270</f>
        <v>791.35</v>
      </c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8">
        <f t="shared" si="10"/>
        <v>791.35</v>
      </c>
      <c r="AZ270" s="4">
        <f t="shared" si="11"/>
        <v>0</v>
      </c>
    </row>
    <row r="271" spans="1:52" s="97" customFormat="1">
      <c r="A271" s="93">
        <v>43889</v>
      </c>
      <c r="B271" s="94" t="s">
        <v>599</v>
      </c>
      <c r="C271" s="95"/>
      <c r="D271" s="96" t="s">
        <v>117</v>
      </c>
      <c r="E271" s="96" t="s">
        <v>300</v>
      </c>
      <c r="G271" s="98" t="s">
        <v>353</v>
      </c>
      <c r="H271" s="99">
        <v>974.73</v>
      </c>
      <c r="I271" s="100"/>
      <c r="J271" s="101"/>
      <c r="K271" s="101"/>
      <c r="L271" s="101">
        <f>H271</f>
        <v>974.73</v>
      </c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2">
        <f t="shared" si="10"/>
        <v>974.73</v>
      </c>
      <c r="AZ271" s="97">
        <f t="shared" si="11"/>
        <v>0</v>
      </c>
    </row>
    <row r="272" spans="1:52" s="41" customFormat="1">
      <c r="A272" s="38">
        <v>43892</v>
      </c>
      <c r="B272" s="58" t="s">
        <v>600</v>
      </c>
      <c r="C272" s="58" t="s">
        <v>79</v>
      </c>
      <c r="D272" s="40" t="s">
        <v>80</v>
      </c>
      <c r="E272" s="40" t="s">
        <v>601</v>
      </c>
      <c r="G272" s="42" t="s">
        <v>353</v>
      </c>
      <c r="H272" s="103">
        <v>1967.67</v>
      </c>
      <c r="I272" s="44"/>
      <c r="J272" s="45">
        <f>H272</f>
        <v>1967.67</v>
      </c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6">
        <f t="shared" si="10"/>
        <v>1967.67</v>
      </c>
      <c r="AZ272" s="41">
        <f t="shared" si="11"/>
        <v>0</v>
      </c>
    </row>
    <row r="273" spans="1:52">
      <c r="A273" s="11">
        <v>43892</v>
      </c>
      <c r="B273" s="70" t="s">
        <v>602</v>
      </c>
      <c r="C273" s="58" t="s">
        <v>83</v>
      </c>
      <c r="D273" s="40" t="s">
        <v>84</v>
      </c>
      <c r="E273" s="40" t="s">
        <v>85</v>
      </c>
      <c r="G273" s="21" t="s">
        <v>353</v>
      </c>
      <c r="H273" s="81">
        <v>7</v>
      </c>
      <c r="I273" s="24"/>
      <c r="J273" s="18"/>
      <c r="K273" s="18"/>
      <c r="L273" s="18"/>
      <c r="M273" s="18"/>
      <c r="N273" s="18"/>
      <c r="O273" s="18"/>
      <c r="P273" s="18"/>
      <c r="Q273" s="18"/>
      <c r="R273" s="18">
        <v>7</v>
      </c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8">
        <f t="shared" si="10"/>
        <v>7</v>
      </c>
      <c r="AZ273" s="4">
        <f t="shared" si="11"/>
        <v>0</v>
      </c>
    </row>
    <row r="274" spans="1:52" s="41" customFormat="1">
      <c r="A274" s="38">
        <v>43893</v>
      </c>
      <c r="B274" s="88"/>
      <c r="C274" s="57" t="s">
        <v>83</v>
      </c>
      <c r="D274" s="89" t="s">
        <v>603</v>
      </c>
      <c r="E274" s="89" t="s">
        <v>604</v>
      </c>
      <c r="G274" s="42" t="s">
        <v>353</v>
      </c>
      <c r="H274" s="90">
        <v>35</v>
      </c>
      <c r="I274" s="89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>
        <v>35</v>
      </c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6">
        <f>SUM(I274:AX274)</f>
        <v>35</v>
      </c>
      <c r="AZ274" s="41">
        <f>AY274-H274</f>
        <v>0</v>
      </c>
    </row>
    <row r="275" spans="1:52">
      <c r="A275" s="11">
        <v>43895</v>
      </c>
      <c r="B275" s="70" t="s">
        <v>605</v>
      </c>
      <c r="C275" s="31" t="s">
        <v>83</v>
      </c>
      <c r="D275" s="24" t="s">
        <v>355</v>
      </c>
      <c r="E275" s="24" t="s">
        <v>548</v>
      </c>
      <c r="G275" s="21" t="s">
        <v>353</v>
      </c>
      <c r="H275" s="81">
        <v>38.42</v>
      </c>
      <c r="I275" s="24">
        <v>6.4</v>
      </c>
      <c r="J275" s="18"/>
      <c r="K275" s="18"/>
      <c r="L275" s="18"/>
      <c r="M275" s="18"/>
      <c r="N275" s="18">
        <f>H275-I275</f>
        <v>32.020000000000003</v>
      </c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8">
        <f>SUM(I275:AX275)</f>
        <v>38.42</v>
      </c>
      <c r="AZ275" s="4">
        <f>AY275-H275</f>
        <v>0</v>
      </c>
    </row>
    <row r="276" spans="1:52">
      <c r="A276" s="11">
        <v>43908</v>
      </c>
      <c r="B276" s="70" t="s">
        <v>606</v>
      </c>
      <c r="C276" s="31" t="s">
        <v>83</v>
      </c>
      <c r="D276" s="24" t="s">
        <v>88</v>
      </c>
      <c r="E276" s="24" t="s">
        <v>607</v>
      </c>
      <c r="G276" s="21" t="s">
        <v>353</v>
      </c>
      <c r="H276" s="81">
        <v>593.65</v>
      </c>
      <c r="I276" s="24">
        <v>98.94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>
        <v>494.71</v>
      </c>
      <c r="AU276" s="18"/>
      <c r="AV276" s="18"/>
      <c r="AW276" s="18"/>
      <c r="AX276" s="18"/>
      <c r="AY276" s="8">
        <f>SUM(I276:AX276)</f>
        <v>593.65</v>
      </c>
      <c r="AZ276" s="4">
        <f>AY276-H276</f>
        <v>0</v>
      </c>
    </row>
    <row r="277" spans="1:52">
      <c r="A277" s="11">
        <v>43908</v>
      </c>
      <c r="B277" s="70" t="s">
        <v>608</v>
      </c>
      <c r="C277" s="31" t="s">
        <v>83</v>
      </c>
      <c r="D277" s="24" t="s">
        <v>88</v>
      </c>
      <c r="E277" s="24" t="s">
        <v>609</v>
      </c>
      <c r="G277" s="21" t="s">
        <v>353</v>
      </c>
      <c r="H277" s="81">
        <v>914.24</v>
      </c>
      <c r="I277" s="24">
        <f>-1300.98+1348.91+104.44</f>
        <v>152.37000000000006</v>
      </c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>
        <f>-6504.88+522.22+6744.53</f>
        <v>761.86999999999989</v>
      </c>
      <c r="AU277" s="18"/>
      <c r="AV277" s="18"/>
      <c r="AW277" s="18"/>
      <c r="AX277" s="18"/>
      <c r="AY277" s="8">
        <f>SUM(I277:AX277)</f>
        <v>914.24</v>
      </c>
      <c r="AZ277" s="4">
        <f>AY277-H277</f>
        <v>0</v>
      </c>
    </row>
    <row r="278" spans="1:52">
      <c r="A278" s="11">
        <v>43914</v>
      </c>
      <c r="B278" s="70" t="s">
        <v>610</v>
      </c>
      <c r="C278" s="31"/>
      <c r="D278" s="24" t="s">
        <v>95</v>
      </c>
      <c r="E278" s="24" t="s">
        <v>601</v>
      </c>
      <c r="G278" s="21" t="s">
        <v>353</v>
      </c>
      <c r="H278" s="81">
        <v>651.99</v>
      </c>
      <c r="I278" s="24"/>
      <c r="J278" s="18">
        <v>651.99</v>
      </c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8">
        <f t="shared" ref="AY278:AY296" si="12">SUM(I278:AX278)</f>
        <v>651.99</v>
      </c>
      <c r="AZ278" s="4">
        <f t="shared" ref="AZ278:AZ297" si="13">AY278-H278</f>
        <v>0</v>
      </c>
    </row>
    <row r="279" spans="1:52">
      <c r="A279" s="11">
        <v>43914</v>
      </c>
      <c r="B279" s="70" t="s">
        <v>611</v>
      </c>
      <c r="C279" s="33" t="s">
        <v>612</v>
      </c>
      <c r="D279" s="24" t="s">
        <v>97</v>
      </c>
      <c r="E279" s="24" t="s">
        <v>613</v>
      </c>
      <c r="G279" s="21" t="s">
        <v>353</v>
      </c>
      <c r="H279" s="81">
        <v>67.5</v>
      </c>
      <c r="I279" s="24"/>
      <c r="J279" s="18"/>
      <c r="K279" s="18"/>
      <c r="L279" s="18"/>
      <c r="M279" s="18"/>
      <c r="N279" s="18"/>
      <c r="O279" s="18"/>
      <c r="P279" s="18"/>
      <c r="Q279" s="18"/>
      <c r="R279" s="18"/>
      <c r="S279" s="18">
        <v>67.5</v>
      </c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8">
        <f t="shared" si="12"/>
        <v>67.5</v>
      </c>
      <c r="AZ279" s="4">
        <f t="shared" si="13"/>
        <v>0</v>
      </c>
    </row>
    <row r="280" spans="1:52">
      <c r="A280" s="11">
        <v>43914</v>
      </c>
      <c r="B280" s="70" t="s">
        <v>614</v>
      </c>
      <c r="C280" s="12"/>
      <c r="D280" s="20" t="s">
        <v>100</v>
      </c>
      <c r="E280" s="27" t="s">
        <v>615</v>
      </c>
      <c r="G280" s="21" t="s">
        <v>353</v>
      </c>
      <c r="H280" s="81">
        <v>104.67</v>
      </c>
      <c r="I280" s="26"/>
      <c r="J280" s="18"/>
      <c r="K280" s="18"/>
      <c r="L280" s="18"/>
      <c r="M280" s="18"/>
      <c r="N280" s="18"/>
      <c r="O280" s="18"/>
      <c r="P280" s="18"/>
      <c r="Q280" s="18"/>
      <c r="R280" s="18">
        <v>41.67</v>
      </c>
      <c r="S280" s="18">
        <v>63</v>
      </c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8">
        <f t="shared" si="12"/>
        <v>104.67</v>
      </c>
      <c r="AZ280" s="4">
        <f t="shared" si="13"/>
        <v>0</v>
      </c>
    </row>
    <row r="281" spans="1:52" s="107" customFormat="1" ht="24">
      <c r="A281" s="69">
        <v>43914</v>
      </c>
      <c r="B281" s="68" t="s">
        <v>616</v>
      </c>
      <c r="C281" s="104"/>
      <c r="D281" s="105" t="s">
        <v>103</v>
      </c>
      <c r="E281" s="106" t="s">
        <v>617</v>
      </c>
      <c r="G281" s="108" t="s">
        <v>353</v>
      </c>
      <c r="H281" s="109">
        <v>1069.99</v>
      </c>
      <c r="I281" s="105">
        <v>178.33</v>
      </c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>
        <f>192.78</f>
        <v>192.78</v>
      </c>
      <c r="AB281" s="110">
        <f>23.51+23.51</f>
        <v>47.02</v>
      </c>
      <c r="AC281" s="110">
        <f>23.51+108.14</f>
        <v>131.65</v>
      </c>
      <c r="AD281" s="110">
        <v>147.16</v>
      </c>
      <c r="AE281" s="110">
        <v>43.05</v>
      </c>
      <c r="AF281" s="110">
        <v>280</v>
      </c>
      <c r="AG281" s="110"/>
      <c r="AH281" s="110"/>
      <c r="AI281" s="110"/>
      <c r="AJ281" s="110"/>
      <c r="AK281" s="110">
        <v>50</v>
      </c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1">
        <f t="shared" si="12"/>
        <v>1069.9899999999998</v>
      </c>
      <c r="AZ281" s="107">
        <f t="shared" si="13"/>
        <v>0</v>
      </c>
    </row>
    <row r="282" spans="1:52">
      <c r="A282" s="11">
        <v>43914</v>
      </c>
      <c r="B282" s="70" t="s">
        <v>618</v>
      </c>
      <c r="C282" s="12"/>
      <c r="D282" s="24" t="s">
        <v>106</v>
      </c>
      <c r="E282" s="24" t="s">
        <v>619</v>
      </c>
      <c r="G282" s="21" t="s">
        <v>353</v>
      </c>
      <c r="H282" s="81">
        <v>441</v>
      </c>
      <c r="I282" s="26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>
        <v>441</v>
      </c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8">
        <f t="shared" si="12"/>
        <v>441</v>
      </c>
      <c r="AZ282" s="4">
        <f t="shared" si="13"/>
        <v>0</v>
      </c>
    </row>
    <row r="283" spans="1:52">
      <c r="A283" s="11">
        <v>43914</v>
      </c>
      <c r="B283" s="70" t="s">
        <v>620</v>
      </c>
      <c r="C283" s="12"/>
      <c r="D283" s="24" t="s">
        <v>80</v>
      </c>
      <c r="E283" s="24" t="s">
        <v>621</v>
      </c>
      <c r="G283" s="21" t="s">
        <v>353</v>
      </c>
      <c r="H283" s="81">
        <v>156.12</v>
      </c>
      <c r="I283" s="26">
        <v>3.83</v>
      </c>
      <c r="J283" s="18"/>
      <c r="K283" s="18"/>
      <c r="L283" s="18"/>
      <c r="M283" s="18">
        <f>4.5+9+13.95+13.5</f>
        <v>40.950000000000003</v>
      </c>
      <c r="N283" s="18"/>
      <c r="O283" s="18">
        <f>19.17+12.18</f>
        <v>31.35</v>
      </c>
      <c r="P283" s="18"/>
      <c r="Q283" s="18"/>
      <c r="R283" s="18">
        <v>79.989999999999995</v>
      </c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8">
        <f t="shared" si="12"/>
        <v>156.12</v>
      </c>
      <c r="AZ283" s="4">
        <f t="shared" si="13"/>
        <v>0</v>
      </c>
    </row>
    <row r="284" spans="1:52">
      <c r="A284" s="11">
        <v>43914</v>
      </c>
      <c r="B284" s="70" t="s">
        <v>622</v>
      </c>
      <c r="C284" s="12"/>
      <c r="D284" s="24" t="s">
        <v>95</v>
      </c>
      <c r="E284" s="24" t="s">
        <v>621</v>
      </c>
      <c r="G284" s="21" t="s">
        <v>353</v>
      </c>
      <c r="H284" s="81">
        <v>12.6</v>
      </c>
      <c r="I284" s="26"/>
      <c r="J284" s="18"/>
      <c r="K284" s="18"/>
      <c r="L284" s="18"/>
      <c r="M284" s="18">
        <v>12.6</v>
      </c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8">
        <f t="shared" si="12"/>
        <v>12.6</v>
      </c>
      <c r="AZ284" s="4">
        <f t="shared" si="13"/>
        <v>0</v>
      </c>
    </row>
    <row r="285" spans="1:52">
      <c r="A285" s="11">
        <v>43914</v>
      </c>
      <c r="B285" s="70" t="s">
        <v>623</v>
      </c>
      <c r="C285" s="12"/>
      <c r="D285" s="20" t="s">
        <v>203</v>
      </c>
      <c r="E285" s="20" t="s">
        <v>624</v>
      </c>
      <c r="G285" s="21" t="s">
        <v>353</v>
      </c>
      <c r="H285" s="66">
        <v>60</v>
      </c>
      <c r="I285" s="17">
        <v>10</v>
      </c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>
        <v>50</v>
      </c>
      <c r="AU285" s="18"/>
      <c r="AV285" s="18"/>
      <c r="AW285" s="18"/>
      <c r="AX285" s="18"/>
      <c r="AY285" s="8">
        <f t="shared" si="12"/>
        <v>60</v>
      </c>
      <c r="AZ285" s="4">
        <f t="shared" si="13"/>
        <v>0</v>
      </c>
    </row>
    <row r="286" spans="1:52">
      <c r="A286" s="11">
        <v>43914</v>
      </c>
      <c r="B286" s="70" t="s">
        <v>625</v>
      </c>
      <c r="C286" s="12"/>
      <c r="D286" s="36" t="s">
        <v>161</v>
      </c>
      <c r="E286" s="35" t="s">
        <v>626</v>
      </c>
      <c r="G286" s="21" t="s">
        <v>353</v>
      </c>
      <c r="H286" s="66">
        <v>27.91</v>
      </c>
      <c r="I286" s="24">
        <v>4.6500000000000004</v>
      </c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>
        <f>19.98+2.9+0.38</f>
        <v>23.259999999999998</v>
      </c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8">
        <f t="shared" si="12"/>
        <v>27.909999999999997</v>
      </c>
      <c r="AZ286" s="4">
        <f t="shared" si="13"/>
        <v>0</v>
      </c>
    </row>
    <row r="287" spans="1:52">
      <c r="A287" s="11">
        <v>43914</v>
      </c>
      <c r="B287" s="70" t="s">
        <v>627</v>
      </c>
      <c r="C287" s="12"/>
      <c r="D287" s="36" t="s">
        <v>286</v>
      </c>
      <c r="E287" s="36" t="s">
        <v>628</v>
      </c>
      <c r="G287" s="21" t="s">
        <v>353</v>
      </c>
      <c r="H287" s="66">
        <v>8.86</v>
      </c>
      <c r="I287" s="24"/>
      <c r="J287" s="18"/>
      <c r="K287" s="18"/>
      <c r="L287" s="18"/>
      <c r="M287" s="18"/>
      <c r="N287" s="71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>
        <v>8.86</v>
      </c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8">
        <f t="shared" si="12"/>
        <v>8.86</v>
      </c>
      <c r="AZ287" s="4">
        <f t="shared" si="13"/>
        <v>0</v>
      </c>
    </row>
    <row r="288" spans="1:52" s="107" customFormat="1" ht="24">
      <c r="A288" s="69">
        <v>43914</v>
      </c>
      <c r="B288" s="68" t="s">
        <v>629</v>
      </c>
      <c r="C288" s="112" t="s">
        <v>630</v>
      </c>
      <c r="D288" s="113" t="s">
        <v>525</v>
      </c>
      <c r="E288" s="113" t="s">
        <v>631</v>
      </c>
      <c r="G288" s="108" t="s">
        <v>353</v>
      </c>
      <c r="H288" s="114">
        <v>78.47</v>
      </c>
      <c r="I288" s="115"/>
      <c r="J288" s="110"/>
      <c r="K288" s="110"/>
      <c r="L288" s="110"/>
      <c r="M288" s="110">
        <v>7.56</v>
      </c>
      <c r="N288" s="110"/>
      <c r="O288" s="110"/>
      <c r="P288" s="110"/>
      <c r="Q288" s="110"/>
      <c r="R288" s="110">
        <v>5</v>
      </c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>
        <f>49.91+16</f>
        <v>65.91</v>
      </c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1">
        <f t="shared" si="12"/>
        <v>78.47</v>
      </c>
      <c r="AZ288" s="107">
        <f t="shared" si="13"/>
        <v>0</v>
      </c>
    </row>
    <row r="289" spans="1:53">
      <c r="A289" s="11">
        <v>43914</v>
      </c>
      <c r="B289" s="70" t="s">
        <v>632</v>
      </c>
      <c r="C289" s="12"/>
      <c r="D289" s="24" t="s">
        <v>129</v>
      </c>
      <c r="E289" s="24" t="s">
        <v>633</v>
      </c>
      <c r="G289" s="21" t="s">
        <v>353</v>
      </c>
      <c r="H289" s="16">
        <v>686.5</v>
      </c>
      <c r="I289" s="17"/>
      <c r="J289" s="18"/>
      <c r="K289" s="18"/>
      <c r="L289" s="18"/>
      <c r="M289" s="18"/>
      <c r="N289" s="18"/>
      <c r="O289" s="18"/>
      <c r="P289" s="18"/>
      <c r="Q289" s="18"/>
      <c r="R289" s="18">
        <v>35</v>
      </c>
      <c r="S289" s="18"/>
      <c r="T289" s="18"/>
      <c r="U289" s="18">
        <v>651.5</v>
      </c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8">
        <f t="shared" si="12"/>
        <v>686.5</v>
      </c>
      <c r="AZ289" s="4">
        <f t="shared" si="13"/>
        <v>0</v>
      </c>
    </row>
    <row r="290" spans="1:53" ht="12" customHeight="1">
      <c r="A290" s="11">
        <v>43917</v>
      </c>
      <c r="B290" s="70" t="s">
        <v>634</v>
      </c>
      <c r="C290" s="116"/>
      <c r="D290" s="117" t="s">
        <v>635</v>
      </c>
      <c r="E290" s="117" t="s">
        <v>636</v>
      </c>
      <c r="G290" s="21"/>
      <c r="H290" s="28">
        <v>1000</v>
      </c>
      <c r="I290" s="17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>
        <v>1000</v>
      </c>
      <c r="AW290" s="18"/>
      <c r="AX290" s="18"/>
      <c r="AY290" s="8">
        <f t="shared" si="12"/>
        <v>1000</v>
      </c>
      <c r="AZ290" s="4">
        <f t="shared" si="13"/>
        <v>0</v>
      </c>
    </row>
    <row r="291" spans="1:53">
      <c r="A291" s="11">
        <v>43920</v>
      </c>
      <c r="B291" s="70"/>
      <c r="C291" s="12" t="s">
        <v>83</v>
      </c>
      <c r="D291" s="20" t="s">
        <v>175</v>
      </c>
      <c r="E291" s="20"/>
      <c r="G291" s="21"/>
      <c r="H291" s="16">
        <v>57.54</v>
      </c>
      <c r="I291" s="17">
        <v>6.6</v>
      </c>
      <c r="J291" s="18"/>
      <c r="K291" s="18"/>
      <c r="L291" s="18"/>
      <c r="M291" s="18"/>
      <c r="N291" s="18"/>
      <c r="O291" s="18"/>
      <c r="P291" s="18"/>
      <c r="Q291" s="18"/>
      <c r="R291" s="18">
        <v>33</v>
      </c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>
        <v>17.940000000000001</v>
      </c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8">
        <f t="shared" si="12"/>
        <v>57.540000000000006</v>
      </c>
      <c r="AZ291" s="4">
        <f t="shared" si="13"/>
        <v>0</v>
      </c>
    </row>
    <row r="292" spans="1:53">
      <c r="A292" s="11">
        <v>43921</v>
      </c>
      <c r="B292" s="70"/>
      <c r="C292" s="82" t="s">
        <v>83</v>
      </c>
      <c r="D292" s="40" t="s">
        <v>84</v>
      </c>
      <c r="E292" s="40" t="s">
        <v>85</v>
      </c>
      <c r="G292" s="21"/>
      <c r="H292" s="81">
        <v>7</v>
      </c>
      <c r="I292" s="24"/>
      <c r="J292" s="18"/>
      <c r="K292" s="18"/>
      <c r="L292" s="18"/>
      <c r="M292" s="18"/>
      <c r="N292" s="18"/>
      <c r="O292" s="18"/>
      <c r="P292" s="18"/>
      <c r="Q292" s="18"/>
      <c r="R292" s="18">
        <v>7</v>
      </c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8">
        <f t="shared" si="12"/>
        <v>7</v>
      </c>
      <c r="AZ292" s="4">
        <f t="shared" si="13"/>
        <v>0</v>
      </c>
    </row>
    <row r="293" spans="1:53">
      <c r="A293" s="11"/>
      <c r="B293" s="70"/>
      <c r="C293" s="116"/>
      <c r="D293" s="36"/>
      <c r="E293" s="35"/>
      <c r="G293" s="21"/>
      <c r="H293" s="16"/>
      <c r="I293" s="17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8">
        <f t="shared" si="12"/>
        <v>0</v>
      </c>
      <c r="AZ293" s="4">
        <f t="shared" si="13"/>
        <v>0</v>
      </c>
    </row>
    <row r="294" spans="1:53">
      <c r="A294" s="11">
        <v>43921</v>
      </c>
      <c r="B294" s="19" t="s">
        <v>637</v>
      </c>
      <c r="C294" s="31"/>
      <c r="D294" s="20" t="s">
        <v>46</v>
      </c>
      <c r="E294" s="20" t="s">
        <v>638</v>
      </c>
      <c r="G294" s="21"/>
      <c r="H294" s="22">
        <v>791.35</v>
      </c>
      <c r="I294" s="17"/>
      <c r="J294" s="18"/>
      <c r="K294" s="18">
        <f>H294</f>
        <v>791.35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8">
        <f t="shared" si="12"/>
        <v>791.35</v>
      </c>
      <c r="AZ294" s="4">
        <f t="shared" si="13"/>
        <v>0</v>
      </c>
    </row>
    <row r="295" spans="1:53" s="97" customFormat="1">
      <c r="A295" s="93">
        <v>43921</v>
      </c>
      <c r="B295" s="94" t="s">
        <v>639</v>
      </c>
      <c r="C295" s="95"/>
      <c r="D295" s="96" t="s">
        <v>117</v>
      </c>
      <c r="E295" s="96" t="s">
        <v>300</v>
      </c>
      <c r="G295" s="98"/>
      <c r="H295" s="99">
        <v>974.73</v>
      </c>
      <c r="I295" s="100"/>
      <c r="J295" s="101"/>
      <c r="K295" s="101"/>
      <c r="L295" s="101">
        <f>H295</f>
        <v>974.73</v>
      </c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2">
        <f t="shared" si="12"/>
        <v>974.73</v>
      </c>
      <c r="AZ295" s="97">
        <f t="shared" si="13"/>
        <v>0</v>
      </c>
    </row>
    <row r="296" spans="1:53" s="51" customFormat="1">
      <c r="A296" s="118"/>
      <c r="B296" s="119"/>
      <c r="C296" s="120"/>
      <c r="D296" s="121"/>
      <c r="E296" s="121"/>
      <c r="G296" s="62"/>
      <c r="H296" s="122"/>
      <c r="I296" s="123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6">
        <f t="shared" si="12"/>
        <v>0</v>
      </c>
      <c r="AZ296" s="51">
        <f t="shared" si="13"/>
        <v>0</v>
      </c>
    </row>
    <row r="297" spans="1:53">
      <c r="B297" s="124"/>
      <c r="C297" s="125"/>
      <c r="D297" s="126"/>
      <c r="E297" s="126"/>
      <c r="G297" s="21"/>
      <c r="H297" s="66"/>
      <c r="I297" s="24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Z297" s="4">
        <f t="shared" si="13"/>
        <v>0</v>
      </c>
    </row>
    <row r="298" spans="1:53" s="127" customFormat="1" ht="15" customHeight="1">
      <c r="A298" s="11"/>
      <c r="B298" s="70"/>
      <c r="C298" s="31"/>
      <c r="G298" s="21"/>
      <c r="H298" s="128">
        <f t="shared" ref="H298:AX298" si="14">SUM(H5:H297)</f>
        <v>163580.45000000001</v>
      </c>
      <c r="I298" s="24">
        <f t="shared" si="14"/>
        <v>14067.770000000002</v>
      </c>
      <c r="J298" s="18">
        <f t="shared" si="14"/>
        <v>31359.880000000016</v>
      </c>
      <c r="K298" s="18">
        <f t="shared" si="14"/>
        <v>9496.6000000000022</v>
      </c>
      <c r="L298" s="18">
        <f t="shared" si="14"/>
        <v>12193.489999999998</v>
      </c>
      <c r="M298" s="18">
        <f t="shared" si="14"/>
        <v>469.2600000000001</v>
      </c>
      <c r="N298" s="18">
        <f t="shared" si="14"/>
        <v>718.55</v>
      </c>
      <c r="O298" s="18">
        <f t="shared" si="14"/>
        <v>366.84000000000003</v>
      </c>
      <c r="P298" s="18">
        <f t="shared" si="14"/>
        <v>602.42000000000007</v>
      </c>
      <c r="Q298" s="18">
        <f t="shared" si="14"/>
        <v>56</v>
      </c>
      <c r="R298" s="18">
        <f t="shared" si="14"/>
        <v>2015.7200000000005</v>
      </c>
      <c r="S298" s="18">
        <f t="shared" si="14"/>
        <v>1229.17</v>
      </c>
      <c r="T298" s="18">
        <f t="shared" si="14"/>
        <v>3019.7</v>
      </c>
      <c r="U298" s="18">
        <f t="shared" si="14"/>
        <v>2123.4700000000003</v>
      </c>
      <c r="V298" s="18">
        <f t="shared" si="14"/>
        <v>120</v>
      </c>
      <c r="W298" s="18">
        <f t="shared" si="14"/>
        <v>25</v>
      </c>
      <c r="X298" s="18">
        <f t="shared" si="14"/>
        <v>13.95</v>
      </c>
      <c r="Y298" s="18">
        <f t="shared" si="14"/>
        <v>1478.05</v>
      </c>
      <c r="Z298" s="18">
        <f t="shared" si="14"/>
        <v>5309</v>
      </c>
      <c r="AA298" s="18">
        <f t="shared" si="14"/>
        <v>2378.6600000000003</v>
      </c>
      <c r="AB298" s="18">
        <f t="shared" si="14"/>
        <v>563.08999999999992</v>
      </c>
      <c r="AC298" s="18">
        <f t="shared" si="14"/>
        <v>1576.6000000000004</v>
      </c>
      <c r="AD298" s="18">
        <f t="shared" si="14"/>
        <v>1758.8200000000002</v>
      </c>
      <c r="AE298" s="18">
        <f t="shared" si="14"/>
        <v>515.55000000000007</v>
      </c>
      <c r="AF298" s="18">
        <f t="shared" si="14"/>
        <v>706.57</v>
      </c>
      <c r="AG298" s="18">
        <f t="shared" si="14"/>
        <v>52.070000000000007</v>
      </c>
      <c r="AH298" s="18">
        <f t="shared" si="14"/>
        <v>4460.79</v>
      </c>
      <c r="AI298" s="18">
        <f t="shared" si="14"/>
        <v>1831.1600000000003</v>
      </c>
      <c r="AJ298" s="18">
        <f t="shared" si="14"/>
        <v>709</v>
      </c>
      <c r="AK298" s="18">
        <f t="shared" si="14"/>
        <v>50</v>
      </c>
      <c r="AL298" s="18">
        <f t="shared" si="14"/>
        <v>1877.8299999999997</v>
      </c>
      <c r="AM298" s="18">
        <f t="shared" si="14"/>
        <v>1920</v>
      </c>
      <c r="AN298" s="18">
        <f t="shared" si="14"/>
        <v>0</v>
      </c>
      <c r="AO298" s="18">
        <f t="shared" si="14"/>
        <v>1128.4000000000001</v>
      </c>
      <c r="AP298" s="18">
        <f t="shared" si="14"/>
        <v>0</v>
      </c>
      <c r="AQ298" s="18">
        <f t="shared" si="14"/>
        <v>0</v>
      </c>
      <c r="AR298" s="18">
        <f t="shared" si="14"/>
        <v>500</v>
      </c>
      <c r="AS298" s="18">
        <f t="shared" si="14"/>
        <v>210</v>
      </c>
      <c r="AT298" s="18">
        <f t="shared" si="14"/>
        <v>7264.23</v>
      </c>
      <c r="AU298" s="18">
        <f t="shared" si="14"/>
        <v>9630.75</v>
      </c>
      <c r="AV298" s="18">
        <f t="shared" si="14"/>
        <v>20083.059999999998</v>
      </c>
      <c r="AW298" s="18">
        <f t="shared" si="14"/>
        <v>599</v>
      </c>
      <c r="AX298" s="18">
        <f t="shared" si="14"/>
        <v>21100</v>
      </c>
      <c r="AY298" s="18">
        <f>SUM(J298:AX298)</f>
        <v>149512.68000000002</v>
      </c>
      <c r="AZ298" s="127">
        <f>SUM(AZ5:AZ297)</f>
        <v>0</v>
      </c>
      <c r="BA298" s="129"/>
    </row>
    <row r="299" spans="1:53" s="127" customFormat="1">
      <c r="A299" s="11"/>
      <c r="B299" s="70"/>
      <c r="C299" s="31"/>
      <c r="G299" s="21"/>
      <c r="H299" s="130"/>
      <c r="I299" s="24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>
        <f>SUM(AY5:AY297)</f>
        <v>163580.45000000001</v>
      </c>
    </row>
    <row r="300" spans="1:53" s="127" customFormat="1">
      <c r="A300" s="11"/>
      <c r="B300" s="70"/>
      <c r="C300" s="31"/>
      <c r="G300" s="21"/>
      <c r="H300" s="18">
        <f>H298-SUM(I298:AX298)</f>
        <v>0</v>
      </c>
      <c r="I300" s="24"/>
      <c r="J300" s="18">
        <f>SUM(J298:L298)</f>
        <v>53049.970000000016</v>
      </c>
      <c r="K300" s="18"/>
      <c r="L300" s="18"/>
      <c r="M300" s="18">
        <f>SUM(M298:R298)</f>
        <v>4228.7900000000009</v>
      </c>
      <c r="N300" s="18"/>
      <c r="O300" s="18"/>
      <c r="P300" s="18"/>
      <c r="Q300" s="18"/>
      <c r="R300" s="18"/>
      <c r="S300" s="18"/>
      <c r="T300" s="18">
        <f>SUM(T298:U298)</f>
        <v>5143.17</v>
      </c>
      <c r="U300" s="18"/>
      <c r="V300" s="18"/>
      <c r="W300" s="18"/>
      <c r="X300" s="18"/>
      <c r="Y300" s="18"/>
      <c r="Z300" s="18"/>
      <c r="AA300" s="18">
        <f>SUM(AA298:AE298)</f>
        <v>6792.72</v>
      </c>
      <c r="AB300" s="18"/>
      <c r="AC300" s="18"/>
      <c r="AD300" s="18"/>
      <c r="AE300" s="18"/>
      <c r="AF300" s="18">
        <f>SUM(AF298:AG298)</f>
        <v>758.6400000000001</v>
      </c>
      <c r="AG300" s="18"/>
      <c r="AH300" s="18">
        <f>SUM(AH298:AI298)</f>
        <v>6291.9500000000007</v>
      </c>
      <c r="AI300" s="18">
        <f>AI14</f>
        <v>3.5</v>
      </c>
      <c r="AJ300" s="18" t="s">
        <v>640</v>
      </c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>
        <f>SUM(I298:AX298)</f>
        <v>163580.45000000001</v>
      </c>
    </row>
    <row r="301" spans="1:53">
      <c r="B301" s="124"/>
      <c r="H301" s="131"/>
      <c r="AI301" s="8">
        <f>AI21+AI31+AI94+AI154+AI249+AI241</f>
        <v>603.60000000000014</v>
      </c>
      <c r="AJ301" s="8" t="s">
        <v>641</v>
      </c>
      <c r="AY301" s="8">
        <f>SUM(J298:AX298)</f>
        <v>149512.68000000002</v>
      </c>
    </row>
    <row r="302" spans="1:53">
      <c r="B302" s="124"/>
      <c r="AI302" s="8">
        <f>AI159+AI165+AI234</f>
        <v>123.72</v>
      </c>
      <c r="AJ302" s="8" t="s">
        <v>642</v>
      </c>
      <c r="AU302" s="8">
        <f>AU124++AU137+AU139+AU194</f>
        <v>3942.6</v>
      </c>
      <c r="AW302" s="8" t="s">
        <v>23</v>
      </c>
    </row>
    <row r="303" spans="1:53">
      <c r="B303" s="124"/>
      <c r="I303" s="7">
        <f>I298+776.39</f>
        <v>14844.160000000002</v>
      </c>
      <c r="AG303" s="8">
        <f>SUM(AF298:AL298)</f>
        <v>9687.42</v>
      </c>
      <c r="AI303" s="8">
        <f>AI85+AI132+AI187+AI214+AI286</f>
        <v>155.34</v>
      </c>
      <c r="AJ303" s="8" t="s">
        <v>643</v>
      </c>
      <c r="AV303" s="8">
        <f>AV140</f>
        <v>2150</v>
      </c>
      <c r="AW303" s="8" t="s">
        <v>644</v>
      </c>
      <c r="AY303" s="8">
        <f>SUM(J298:AW298)</f>
        <v>128412.68000000002</v>
      </c>
    </row>
    <row r="304" spans="1:53">
      <c r="B304" s="124"/>
      <c r="AI304" s="56">
        <f>SUM(AI300:AI303)</f>
        <v>886.1600000000002</v>
      </c>
      <c r="AJ304" s="8">
        <f>AI304-AI298</f>
        <v>-945.00000000000011</v>
      </c>
      <c r="AU304" s="8">
        <f>AU176+AU177+AU116+AU179+AU193+AU214</f>
        <v>3913.15</v>
      </c>
      <c r="AW304" s="8" t="s">
        <v>645</v>
      </c>
    </row>
    <row r="305" spans="2:51">
      <c r="B305" s="124"/>
      <c r="AU305" s="8">
        <f>AU232</f>
        <v>1125</v>
      </c>
      <c r="AW305" s="8" t="s">
        <v>646</v>
      </c>
    </row>
    <row r="306" spans="2:51">
      <c r="B306" s="124"/>
    </row>
    <row r="307" spans="2:51">
      <c r="B307" s="124"/>
      <c r="AU307" s="56">
        <f>AU298-SUM(AU302:AU306)</f>
        <v>650</v>
      </c>
    </row>
    <row r="308" spans="2:51">
      <c r="B308" s="124"/>
    </row>
    <row r="309" spans="2:51">
      <c r="B309" s="124"/>
    </row>
    <row r="310" spans="2:51">
      <c r="B310" s="124"/>
    </row>
    <row r="311" spans="2:51">
      <c r="B311" s="124"/>
      <c r="D311" s="4" t="s">
        <v>647</v>
      </c>
      <c r="H311" s="7">
        <f t="shared" ref="H311:AX311" si="15">SUM(H5:H28)</f>
        <v>9983.42</v>
      </c>
      <c r="I311" s="7">
        <f t="shared" si="15"/>
        <v>368.99</v>
      </c>
      <c r="J311" s="7">
        <f t="shared" si="15"/>
        <v>2607.02</v>
      </c>
      <c r="K311" s="7">
        <f t="shared" si="15"/>
        <v>791.35</v>
      </c>
      <c r="L311" s="7">
        <f t="shared" si="15"/>
        <v>520.25</v>
      </c>
      <c r="M311" s="7">
        <f t="shared" si="15"/>
        <v>0</v>
      </c>
      <c r="N311" s="7">
        <f t="shared" si="15"/>
        <v>62.6</v>
      </c>
      <c r="O311" s="7">
        <f t="shared" si="15"/>
        <v>38.46</v>
      </c>
      <c r="P311" s="7">
        <f t="shared" si="15"/>
        <v>333.32</v>
      </c>
      <c r="Q311" s="7">
        <f t="shared" si="15"/>
        <v>7</v>
      </c>
      <c r="R311" s="7">
        <f t="shared" si="15"/>
        <v>153.63999999999999</v>
      </c>
      <c r="S311" s="7">
        <f t="shared" si="15"/>
        <v>82.5</v>
      </c>
      <c r="T311" s="7">
        <f t="shared" si="15"/>
        <v>735</v>
      </c>
      <c r="U311" s="7">
        <f t="shared" si="15"/>
        <v>693.97</v>
      </c>
      <c r="V311" s="7">
        <f t="shared" si="15"/>
        <v>0</v>
      </c>
      <c r="W311" s="7">
        <f t="shared" si="15"/>
        <v>0</v>
      </c>
      <c r="X311" s="7">
        <f t="shared" si="15"/>
        <v>0</v>
      </c>
      <c r="Y311" s="7">
        <f t="shared" si="15"/>
        <v>21.5</v>
      </c>
      <c r="Z311" s="7">
        <f t="shared" si="15"/>
        <v>453</v>
      </c>
      <c r="AA311" s="7">
        <f t="shared" si="15"/>
        <v>188.08</v>
      </c>
      <c r="AB311" s="7">
        <f t="shared" si="15"/>
        <v>45.87</v>
      </c>
      <c r="AC311" s="7">
        <f t="shared" si="15"/>
        <v>128.45000000000002</v>
      </c>
      <c r="AD311" s="7">
        <f t="shared" si="15"/>
        <v>140.06</v>
      </c>
      <c r="AE311" s="7">
        <f t="shared" si="15"/>
        <v>42</v>
      </c>
      <c r="AF311" s="7">
        <f t="shared" si="15"/>
        <v>33.86</v>
      </c>
      <c r="AG311" s="7">
        <f t="shared" si="15"/>
        <v>0</v>
      </c>
      <c r="AH311" s="7">
        <f t="shared" si="15"/>
        <v>472.5</v>
      </c>
      <c r="AI311" s="7">
        <f t="shared" si="15"/>
        <v>492.42</v>
      </c>
      <c r="AJ311" s="7">
        <f t="shared" si="15"/>
        <v>0</v>
      </c>
      <c r="AK311" s="7">
        <f t="shared" si="15"/>
        <v>0</v>
      </c>
      <c r="AL311" s="7">
        <f t="shared" si="15"/>
        <v>189.69</v>
      </c>
      <c r="AM311" s="7">
        <f t="shared" si="15"/>
        <v>0</v>
      </c>
      <c r="AN311" s="7">
        <f t="shared" si="15"/>
        <v>0</v>
      </c>
      <c r="AO311" s="7">
        <f t="shared" si="15"/>
        <v>764.4</v>
      </c>
      <c r="AP311" s="7">
        <f t="shared" si="15"/>
        <v>0</v>
      </c>
      <c r="AQ311" s="7">
        <f t="shared" si="15"/>
        <v>0</v>
      </c>
      <c r="AR311" s="7">
        <f t="shared" si="15"/>
        <v>0</v>
      </c>
      <c r="AS311" s="7">
        <f t="shared" si="15"/>
        <v>0</v>
      </c>
      <c r="AT311" s="7">
        <f t="shared" si="15"/>
        <v>617.49</v>
      </c>
      <c r="AU311" s="7">
        <f t="shared" si="15"/>
        <v>0</v>
      </c>
      <c r="AV311" s="7">
        <f t="shared" si="15"/>
        <v>0</v>
      </c>
      <c r="AW311" s="7">
        <f t="shared" si="15"/>
        <v>0</v>
      </c>
      <c r="AX311" s="7">
        <f t="shared" si="15"/>
        <v>0</v>
      </c>
      <c r="AY311" s="8">
        <f>SUM(I311:AX311)</f>
        <v>9983.42</v>
      </c>
    </row>
    <row r="312" spans="2:51">
      <c r="H312" s="7"/>
      <c r="J312" s="8">
        <f>SUM(J311:L311)</f>
        <v>3918.62</v>
      </c>
      <c r="M312" s="8">
        <f>M311+N311+O311+P311+Q311+R311</f>
        <v>595.02</v>
      </c>
      <c r="T312" s="8">
        <f>SUM(T311:U311)</f>
        <v>1428.97</v>
      </c>
      <c r="Y312" s="8">
        <f>SUM(Y311:Z311)</f>
        <v>474.5</v>
      </c>
      <c r="AA312" s="8">
        <f>SUM(AA311:AE311)</f>
        <v>544.46</v>
      </c>
      <c r="AF312" s="8">
        <f>SUM(AF311:AG311)</f>
        <v>33.86</v>
      </c>
      <c r="AH312" s="8">
        <f>SUM(AH311:AK311)</f>
        <v>964.92000000000007</v>
      </c>
      <c r="AY312" s="8">
        <f>SUM(J311:AX311)</f>
        <v>9614.43</v>
      </c>
    </row>
    <row r="313" spans="2:51">
      <c r="B313" s="124"/>
      <c r="D313" s="4" t="s">
        <v>648</v>
      </c>
      <c r="H313" s="7">
        <f t="shared" ref="H313:AX313" si="16">SUM(H29:H48)</f>
        <v>7418.2600000000011</v>
      </c>
      <c r="I313" s="7">
        <f t="shared" si="16"/>
        <v>411.06</v>
      </c>
      <c r="J313" s="7">
        <f t="shared" si="16"/>
        <v>2607.02</v>
      </c>
      <c r="K313" s="7">
        <f t="shared" si="16"/>
        <v>791.35</v>
      </c>
      <c r="L313" s="7">
        <f t="shared" si="16"/>
        <v>970.8</v>
      </c>
      <c r="M313" s="7">
        <f t="shared" si="16"/>
        <v>82.8</v>
      </c>
      <c r="N313" s="7">
        <f t="shared" si="16"/>
        <v>53</v>
      </c>
      <c r="O313" s="7">
        <f t="shared" si="16"/>
        <v>33.08</v>
      </c>
      <c r="P313" s="7">
        <f t="shared" si="16"/>
        <v>0</v>
      </c>
      <c r="Q313" s="7">
        <f t="shared" si="16"/>
        <v>14</v>
      </c>
      <c r="R313" s="7">
        <f t="shared" si="16"/>
        <v>199.76</v>
      </c>
      <c r="S313" s="7">
        <f t="shared" si="16"/>
        <v>67.5</v>
      </c>
      <c r="T313" s="7">
        <f t="shared" si="16"/>
        <v>0</v>
      </c>
      <c r="U313" s="7">
        <f t="shared" si="16"/>
        <v>0</v>
      </c>
      <c r="V313" s="7">
        <f t="shared" si="16"/>
        <v>0</v>
      </c>
      <c r="W313" s="7">
        <f t="shared" si="16"/>
        <v>25</v>
      </c>
      <c r="X313" s="7">
        <f t="shared" si="16"/>
        <v>0</v>
      </c>
      <c r="Y313" s="7">
        <f t="shared" si="16"/>
        <v>0</v>
      </c>
      <c r="Z313" s="7">
        <f t="shared" si="16"/>
        <v>0</v>
      </c>
      <c r="AA313" s="7">
        <f t="shared" si="16"/>
        <v>192.78</v>
      </c>
      <c r="AB313" s="7">
        <f t="shared" si="16"/>
        <v>47.02</v>
      </c>
      <c r="AC313" s="7">
        <f t="shared" si="16"/>
        <v>131.65</v>
      </c>
      <c r="AD313" s="7">
        <f t="shared" si="16"/>
        <v>147.16</v>
      </c>
      <c r="AE313" s="7">
        <f t="shared" si="16"/>
        <v>43.05</v>
      </c>
      <c r="AF313" s="7">
        <f t="shared" si="16"/>
        <v>0</v>
      </c>
      <c r="AG313" s="7">
        <f t="shared" si="16"/>
        <v>10.48</v>
      </c>
      <c r="AH313" s="7">
        <f t="shared" si="16"/>
        <v>0</v>
      </c>
      <c r="AI313" s="7">
        <f t="shared" si="16"/>
        <v>156.21</v>
      </c>
      <c r="AJ313" s="7">
        <f t="shared" si="16"/>
        <v>0</v>
      </c>
      <c r="AK313" s="7">
        <f t="shared" si="16"/>
        <v>0</v>
      </c>
      <c r="AL313" s="7">
        <f t="shared" si="16"/>
        <v>53.99</v>
      </c>
      <c r="AM313" s="7">
        <f t="shared" si="16"/>
        <v>0</v>
      </c>
      <c r="AN313" s="7">
        <f t="shared" si="16"/>
        <v>0</v>
      </c>
      <c r="AO313" s="7">
        <f t="shared" si="16"/>
        <v>0</v>
      </c>
      <c r="AP313" s="7">
        <f t="shared" si="16"/>
        <v>0</v>
      </c>
      <c r="AQ313" s="7">
        <f t="shared" si="16"/>
        <v>0</v>
      </c>
      <c r="AR313" s="7">
        <f t="shared" si="16"/>
        <v>0</v>
      </c>
      <c r="AS313" s="7">
        <f t="shared" si="16"/>
        <v>0</v>
      </c>
      <c r="AT313" s="7">
        <f t="shared" si="16"/>
        <v>459.95</v>
      </c>
      <c r="AU313" s="7">
        <f t="shared" si="16"/>
        <v>0</v>
      </c>
      <c r="AV313" s="7">
        <f t="shared" si="16"/>
        <v>920.6</v>
      </c>
      <c r="AW313" s="7">
        <f t="shared" si="16"/>
        <v>0</v>
      </c>
      <c r="AX313" s="7">
        <f t="shared" si="16"/>
        <v>0</v>
      </c>
      <c r="AY313" s="8">
        <f>SUM(I313:AX313)</f>
        <v>7418.2599999999993</v>
      </c>
    </row>
    <row r="314" spans="2:51">
      <c r="H314" s="7"/>
      <c r="J314" s="8">
        <f>SUM(J313:L313)</f>
        <v>4369.17</v>
      </c>
      <c r="M314" s="8">
        <f>M313+N313+O313+P313+Q313+R313</f>
        <v>382.64</v>
      </c>
      <c r="T314" s="8">
        <f>SUM(T313:U313)</f>
        <v>0</v>
      </c>
      <c r="Y314" s="8">
        <f>SUM(Y313:Z313)</f>
        <v>0</v>
      </c>
      <c r="AA314" s="8">
        <f>SUM(AA313:AE313)</f>
        <v>561.66</v>
      </c>
      <c r="AF314" s="8">
        <f>SUM(AF313:AG313)</f>
        <v>10.48</v>
      </c>
      <c r="AH314" s="8">
        <f>SUM(AH313:AK313)</f>
        <v>156.21</v>
      </c>
      <c r="AY314" s="8">
        <f>SUM(J313:AX313)</f>
        <v>7007.2</v>
      </c>
    </row>
    <row r="315" spans="2:51">
      <c r="B315" s="124"/>
      <c r="D315" s="4" t="s">
        <v>649</v>
      </c>
      <c r="H315" s="7">
        <f t="shared" ref="H315:AX315" si="17">SUM(H49:H74)</f>
        <v>20908.199999999997</v>
      </c>
      <c r="I315" s="7">
        <f t="shared" si="17"/>
        <v>2359.4899999999998</v>
      </c>
      <c r="J315" s="7">
        <f t="shared" si="17"/>
        <v>2607.02</v>
      </c>
      <c r="K315" s="7">
        <f t="shared" si="17"/>
        <v>791.35</v>
      </c>
      <c r="L315" s="7">
        <f t="shared" si="17"/>
        <v>1941.6</v>
      </c>
      <c r="M315" s="7">
        <f t="shared" si="17"/>
        <v>40.5</v>
      </c>
      <c r="N315" s="7">
        <f t="shared" si="17"/>
        <v>92.68</v>
      </c>
      <c r="O315" s="7">
        <f t="shared" si="17"/>
        <v>0</v>
      </c>
      <c r="P315" s="7">
        <f t="shared" si="17"/>
        <v>0</v>
      </c>
      <c r="Q315" s="7">
        <f t="shared" si="17"/>
        <v>0</v>
      </c>
      <c r="R315" s="7">
        <f t="shared" si="17"/>
        <v>200.31</v>
      </c>
      <c r="S315" s="7">
        <f t="shared" si="17"/>
        <v>129.17000000000002</v>
      </c>
      <c r="T315" s="7">
        <f t="shared" si="17"/>
        <v>192</v>
      </c>
      <c r="U315" s="7">
        <f t="shared" si="17"/>
        <v>0</v>
      </c>
      <c r="V315" s="7">
        <f t="shared" si="17"/>
        <v>40</v>
      </c>
      <c r="W315" s="7">
        <f t="shared" si="17"/>
        <v>0</v>
      </c>
      <c r="X315" s="7">
        <f t="shared" si="17"/>
        <v>13.95</v>
      </c>
      <c r="Y315" s="7">
        <f t="shared" si="17"/>
        <v>0</v>
      </c>
      <c r="Z315" s="7">
        <f t="shared" si="17"/>
        <v>887</v>
      </c>
      <c r="AA315" s="7">
        <f t="shared" si="17"/>
        <v>192.78</v>
      </c>
      <c r="AB315" s="7">
        <f t="shared" si="17"/>
        <v>47.02</v>
      </c>
      <c r="AC315" s="7">
        <f t="shared" si="17"/>
        <v>131.65</v>
      </c>
      <c r="AD315" s="7">
        <f t="shared" si="17"/>
        <v>147.16</v>
      </c>
      <c r="AE315" s="7">
        <f t="shared" si="17"/>
        <v>43.05</v>
      </c>
      <c r="AF315" s="7">
        <f t="shared" si="17"/>
        <v>0</v>
      </c>
      <c r="AG315" s="7">
        <f t="shared" si="17"/>
        <v>0</v>
      </c>
      <c r="AH315" s="7">
        <f t="shared" si="17"/>
        <v>0</v>
      </c>
      <c r="AI315" s="7">
        <f t="shared" si="17"/>
        <v>0</v>
      </c>
      <c r="AJ315" s="7">
        <f t="shared" si="17"/>
        <v>0</v>
      </c>
      <c r="AK315" s="7">
        <f t="shared" si="17"/>
        <v>0</v>
      </c>
      <c r="AL315" s="7">
        <f t="shared" si="17"/>
        <v>11.19</v>
      </c>
      <c r="AM315" s="7">
        <f t="shared" si="17"/>
        <v>0</v>
      </c>
      <c r="AN315" s="7">
        <f t="shared" si="17"/>
        <v>0</v>
      </c>
      <c r="AO315" s="7">
        <f t="shared" si="17"/>
        <v>0</v>
      </c>
      <c r="AP315" s="7">
        <f t="shared" si="17"/>
        <v>0</v>
      </c>
      <c r="AQ315" s="7">
        <f t="shared" si="17"/>
        <v>0</v>
      </c>
      <c r="AR315" s="7">
        <f t="shared" si="17"/>
        <v>0</v>
      </c>
      <c r="AS315" s="7">
        <f t="shared" si="17"/>
        <v>0</v>
      </c>
      <c r="AT315" s="7">
        <f t="shared" si="17"/>
        <v>615.28</v>
      </c>
      <c r="AU315" s="7">
        <f t="shared" si="17"/>
        <v>0</v>
      </c>
      <c r="AV315" s="7">
        <f t="shared" si="17"/>
        <v>0</v>
      </c>
      <c r="AW315" s="7">
        <f t="shared" si="17"/>
        <v>0</v>
      </c>
      <c r="AX315" s="7">
        <f t="shared" si="17"/>
        <v>10425</v>
      </c>
      <c r="AY315" s="8">
        <f>SUM(I315:AX315)</f>
        <v>20908.200000000004</v>
      </c>
    </row>
    <row r="316" spans="2:51">
      <c r="H316" s="7"/>
      <c r="J316" s="8">
        <f>SUM(J315:L315)</f>
        <v>5339.9699999999993</v>
      </c>
      <c r="M316" s="8">
        <f>M315+N315+O315+P315+Q315+R315</f>
        <v>333.49</v>
      </c>
      <c r="T316" s="8">
        <f>SUM(T315:U315)</f>
        <v>192</v>
      </c>
      <c r="Y316" s="8">
        <f>SUM(Y315:Z315)</f>
        <v>887</v>
      </c>
      <c r="AA316" s="8">
        <f>SUM(AA315:AE315)</f>
        <v>561.66</v>
      </c>
      <c r="AF316" s="8">
        <f>SUM(AF315:AG315)</f>
        <v>0</v>
      </c>
      <c r="AH316" s="8">
        <f>SUM(AH315:AK315)</f>
        <v>0</v>
      </c>
      <c r="AY316" s="8">
        <f>SUM(J315:AX315)</f>
        <v>18548.71</v>
      </c>
    </row>
    <row r="317" spans="2:51">
      <c r="B317" s="124"/>
      <c r="D317" s="4" t="s">
        <v>650</v>
      </c>
      <c r="H317" s="7">
        <f t="shared" ref="H317:AX317" si="18">SUM(H75:H96)</f>
        <v>7417.8000000000011</v>
      </c>
      <c r="I317" s="7">
        <f t="shared" si="18"/>
        <v>239.48</v>
      </c>
      <c r="J317" s="7">
        <f t="shared" si="18"/>
        <v>2607.02</v>
      </c>
      <c r="K317" s="7">
        <f t="shared" si="18"/>
        <v>791.35</v>
      </c>
      <c r="L317" s="7">
        <f t="shared" si="18"/>
        <v>970.84</v>
      </c>
      <c r="M317" s="7">
        <f t="shared" si="18"/>
        <v>24.3</v>
      </c>
      <c r="N317" s="7">
        <f t="shared" si="18"/>
        <v>63.99</v>
      </c>
      <c r="O317" s="7">
        <f t="shared" si="18"/>
        <v>31.35</v>
      </c>
      <c r="P317" s="7">
        <f t="shared" si="18"/>
        <v>0</v>
      </c>
      <c r="Q317" s="7">
        <f t="shared" si="18"/>
        <v>7</v>
      </c>
      <c r="R317" s="7">
        <f t="shared" si="18"/>
        <v>77.97</v>
      </c>
      <c r="S317" s="7">
        <f t="shared" si="18"/>
        <v>165</v>
      </c>
      <c r="T317" s="7">
        <f t="shared" si="18"/>
        <v>0</v>
      </c>
      <c r="U317" s="7">
        <f t="shared" si="18"/>
        <v>0</v>
      </c>
      <c r="V317" s="7">
        <f t="shared" si="18"/>
        <v>0</v>
      </c>
      <c r="W317" s="7">
        <f t="shared" si="18"/>
        <v>0</v>
      </c>
      <c r="X317" s="7">
        <f t="shared" si="18"/>
        <v>0</v>
      </c>
      <c r="Y317" s="7">
        <f t="shared" si="18"/>
        <v>0</v>
      </c>
      <c r="Z317" s="7">
        <f t="shared" si="18"/>
        <v>441</v>
      </c>
      <c r="AA317" s="7">
        <f t="shared" si="18"/>
        <v>192.78</v>
      </c>
      <c r="AB317" s="7">
        <f t="shared" si="18"/>
        <v>47.02</v>
      </c>
      <c r="AC317" s="7">
        <f t="shared" si="18"/>
        <v>131.65</v>
      </c>
      <c r="AD317" s="7">
        <f t="shared" si="18"/>
        <v>147.16</v>
      </c>
      <c r="AE317" s="7">
        <f t="shared" si="18"/>
        <v>43.05</v>
      </c>
      <c r="AF317" s="7">
        <f t="shared" si="18"/>
        <v>0</v>
      </c>
      <c r="AG317" s="7">
        <f t="shared" si="18"/>
        <v>13.21</v>
      </c>
      <c r="AH317" s="7">
        <f t="shared" si="18"/>
        <v>0</v>
      </c>
      <c r="AI317" s="7">
        <f t="shared" si="18"/>
        <v>199.68</v>
      </c>
      <c r="AJ317" s="7">
        <f t="shared" si="18"/>
        <v>0</v>
      </c>
      <c r="AK317" s="7">
        <f t="shared" si="18"/>
        <v>0</v>
      </c>
      <c r="AL317" s="7">
        <f t="shared" si="18"/>
        <v>0</v>
      </c>
      <c r="AM317" s="7">
        <f t="shared" si="18"/>
        <v>0</v>
      </c>
      <c r="AN317" s="7">
        <f t="shared" si="18"/>
        <v>0</v>
      </c>
      <c r="AO317" s="7">
        <f t="shared" si="18"/>
        <v>364</v>
      </c>
      <c r="AP317" s="7">
        <f t="shared" si="18"/>
        <v>0</v>
      </c>
      <c r="AQ317" s="7">
        <f t="shared" si="18"/>
        <v>0</v>
      </c>
      <c r="AR317" s="7">
        <f t="shared" si="18"/>
        <v>0</v>
      </c>
      <c r="AS317" s="7">
        <f t="shared" si="18"/>
        <v>150</v>
      </c>
      <c r="AT317" s="7">
        <f t="shared" si="18"/>
        <v>509.95</v>
      </c>
      <c r="AU317" s="7">
        <f t="shared" si="18"/>
        <v>0</v>
      </c>
      <c r="AV317" s="7">
        <f t="shared" si="18"/>
        <v>0</v>
      </c>
      <c r="AW317" s="7">
        <f t="shared" si="18"/>
        <v>200</v>
      </c>
      <c r="AX317" s="7">
        <f t="shared" si="18"/>
        <v>0</v>
      </c>
      <c r="AY317" s="8">
        <f>SUM(I317:AX317)</f>
        <v>7417.8</v>
      </c>
    </row>
    <row r="318" spans="2:51">
      <c r="H318" s="7"/>
      <c r="J318" s="132">
        <f>SUM(J317:L317)</f>
        <v>4369.21</v>
      </c>
      <c r="M318" s="132">
        <f>M317+N317+O317+P317+Q317+R317</f>
        <v>204.61</v>
      </c>
      <c r="T318" s="132">
        <f>SUM(T317:U317)</f>
        <v>0</v>
      </c>
      <c r="Y318" s="132">
        <f>SUM(Y317:Z317)</f>
        <v>441</v>
      </c>
      <c r="AA318" s="132">
        <f>SUM(AA317:AE317)</f>
        <v>561.66</v>
      </c>
      <c r="AF318" s="8">
        <f>SUM(AF317:AG317)</f>
        <v>13.21</v>
      </c>
      <c r="AH318" s="132">
        <f>SUM(AH317:AK317)</f>
        <v>199.68</v>
      </c>
      <c r="AY318" s="8">
        <f>SUM(J317:AX317)</f>
        <v>7178.3200000000006</v>
      </c>
    </row>
    <row r="319" spans="2:51">
      <c r="D319" s="4" t="s">
        <v>651</v>
      </c>
      <c r="H319" s="7">
        <f t="shared" ref="H319:AX319" si="19">SUM(H97:H121)</f>
        <v>9450.9</v>
      </c>
      <c r="I319" s="7">
        <f t="shared" si="19"/>
        <v>523.81999999999994</v>
      </c>
      <c r="J319" s="7">
        <f t="shared" si="19"/>
        <v>2607.02</v>
      </c>
      <c r="K319" s="7">
        <f t="shared" si="19"/>
        <v>791.55</v>
      </c>
      <c r="L319" s="7">
        <f t="shared" si="19"/>
        <v>970.81</v>
      </c>
      <c r="M319" s="7">
        <f t="shared" si="19"/>
        <v>24.3</v>
      </c>
      <c r="N319" s="7">
        <f t="shared" si="19"/>
        <v>62.78</v>
      </c>
      <c r="O319" s="7">
        <f t="shared" si="19"/>
        <v>31.35</v>
      </c>
      <c r="P319" s="7">
        <f t="shared" si="19"/>
        <v>0</v>
      </c>
      <c r="Q319" s="7">
        <f t="shared" si="19"/>
        <v>7</v>
      </c>
      <c r="R319" s="7">
        <f t="shared" si="19"/>
        <v>44.83</v>
      </c>
      <c r="S319" s="7">
        <f t="shared" si="19"/>
        <v>77.5</v>
      </c>
      <c r="T319" s="7">
        <f t="shared" si="19"/>
        <v>0</v>
      </c>
      <c r="U319" s="7">
        <f t="shared" si="19"/>
        <v>250</v>
      </c>
      <c r="V319" s="7">
        <f t="shared" si="19"/>
        <v>0</v>
      </c>
      <c r="W319" s="7">
        <f t="shared" si="19"/>
        <v>0</v>
      </c>
      <c r="X319" s="7">
        <f t="shared" si="19"/>
        <v>0</v>
      </c>
      <c r="Y319" s="7">
        <f t="shared" si="19"/>
        <v>715</v>
      </c>
      <c r="Z319" s="7">
        <f t="shared" si="19"/>
        <v>441</v>
      </c>
      <c r="AA319" s="7">
        <f t="shared" si="19"/>
        <v>192.78</v>
      </c>
      <c r="AB319" s="7">
        <f t="shared" si="19"/>
        <v>47.02</v>
      </c>
      <c r="AC319" s="7">
        <f t="shared" si="19"/>
        <v>131.65</v>
      </c>
      <c r="AD319" s="7">
        <f t="shared" si="19"/>
        <v>147.16</v>
      </c>
      <c r="AE319" s="7">
        <f t="shared" si="19"/>
        <v>43.05</v>
      </c>
      <c r="AF319" s="7">
        <f t="shared" si="19"/>
        <v>0</v>
      </c>
      <c r="AG319" s="7">
        <f t="shared" si="19"/>
        <v>0</v>
      </c>
      <c r="AH319" s="7">
        <f t="shared" si="19"/>
        <v>0</v>
      </c>
      <c r="AI319" s="7">
        <f t="shared" si="19"/>
        <v>0</v>
      </c>
      <c r="AJ319" s="7">
        <f t="shared" si="19"/>
        <v>0</v>
      </c>
      <c r="AK319" s="7">
        <f t="shared" si="19"/>
        <v>0</v>
      </c>
      <c r="AL319" s="7">
        <f t="shared" si="19"/>
        <v>195</v>
      </c>
      <c r="AM319" s="7">
        <f t="shared" si="19"/>
        <v>373</v>
      </c>
      <c r="AN319" s="7">
        <f t="shared" si="19"/>
        <v>0</v>
      </c>
      <c r="AO319" s="7">
        <f t="shared" si="19"/>
        <v>0</v>
      </c>
      <c r="AP319" s="7">
        <f t="shared" si="19"/>
        <v>0</v>
      </c>
      <c r="AQ319" s="7">
        <f t="shared" si="19"/>
        <v>0</v>
      </c>
      <c r="AR319" s="7">
        <f t="shared" si="19"/>
        <v>0</v>
      </c>
      <c r="AS319" s="7">
        <f t="shared" si="19"/>
        <v>0</v>
      </c>
      <c r="AT319" s="7">
        <f t="shared" si="19"/>
        <v>525.28</v>
      </c>
      <c r="AU319" s="7">
        <f t="shared" si="19"/>
        <v>600</v>
      </c>
      <c r="AV319" s="7">
        <f t="shared" si="19"/>
        <v>0</v>
      </c>
      <c r="AW319" s="7">
        <f t="shared" si="19"/>
        <v>399</v>
      </c>
      <c r="AX319" s="7">
        <f t="shared" si="19"/>
        <v>250</v>
      </c>
      <c r="AY319" s="8">
        <f>SUM(I319:AX319)</f>
        <v>9450.9000000000015</v>
      </c>
    </row>
    <row r="320" spans="2:51">
      <c r="H320" s="7"/>
      <c r="J320" s="8">
        <f>SUM(J319:L319)</f>
        <v>4369.3799999999992</v>
      </c>
      <c r="M320" s="8">
        <f>M319+N319+O319+P319+Q319+R319</f>
        <v>170.26</v>
      </c>
      <c r="T320" s="8">
        <f>SUM(T319:U319)</f>
        <v>250</v>
      </c>
      <c r="Y320" s="8">
        <f>SUM(Y319:Z319)</f>
        <v>1156</v>
      </c>
      <c r="AA320" s="8">
        <f>SUM(AA319:AE319)</f>
        <v>561.66</v>
      </c>
      <c r="AF320" s="8">
        <f>SUM(AF319:AG319)</f>
        <v>0</v>
      </c>
      <c r="AH320" s="8">
        <f>SUM(AH319:AK319)</f>
        <v>0</v>
      </c>
      <c r="AY320" s="8">
        <f>SUM(J319:AX319)</f>
        <v>8927.0799999999981</v>
      </c>
    </row>
    <row r="321" spans="2:52">
      <c r="D321" s="4" t="s">
        <v>652</v>
      </c>
      <c r="H321" s="7">
        <f t="shared" ref="H321:AX321" si="20">SUM(H122:H145)</f>
        <v>25729.749999999996</v>
      </c>
      <c r="I321" s="7">
        <f t="shared" si="20"/>
        <v>3099.24</v>
      </c>
      <c r="J321" s="7">
        <f t="shared" si="20"/>
        <v>2606.8200000000002</v>
      </c>
      <c r="K321" s="7">
        <f t="shared" si="20"/>
        <v>791.35</v>
      </c>
      <c r="L321" s="7">
        <f t="shared" si="20"/>
        <v>970.81</v>
      </c>
      <c r="M321" s="7">
        <f t="shared" si="20"/>
        <v>36.9</v>
      </c>
      <c r="N321" s="7">
        <f t="shared" si="20"/>
        <v>59.39</v>
      </c>
      <c r="O321" s="7">
        <f t="shared" si="20"/>
        <v>37.71</v>
      </c>
      <c r="P321" s="7">
        <f t="shared" si="20"/>
        <v>0</v>
      </c>
      <c r="Q321" s="7">
        <f t="shared" si="20"/>
        <v>7</v>
      </c>
      <c r="R321" s="7">
        <f t="shared" si="20"/>
        <v>274.70000000000005</v>
      </c>
      <c r="S321" s="7">
        <f t="shared" si="20"/>
        <v>130</v>
      </c>
      <c r="T321" s="7">
        <f t="shared" si="20"/>
        <v>0</v>
      </c>
      <c r="U321" s="7">
        <f t="shared" si="20"/>
        <v>12</v>
      </c>
      <c r="V321" s="7">
        <f t="shared" si="20"/>
        <v>0</v>
      </c>
      <c r="W321" s="7">
        <f t="shared" si="20"/>
        <v>0</v>
      </c>
      <c r="X321" s="7">
        <f t="shared" si="20"/>
        <v>0</v>
      </c>
      <c r="Y321" s="7">
        <f t="shared" si="20"/>
        <v>417.49</v>
      </c>
      <c r="Z321" s="7">
        <f t="shared" si="20"/>
        <v>0</v>
      </c>
      <c r="AA321" s="7">
        <f t="shared" si="20"/>
        <v>192.78</v>
      </c>
      <c r="AB321" s="7">
        <f t="shared" si="20"/>
        <v>47.02</v>
      </c>
      <c r="AC321" s="7">
        <f t="shared" si="20"/>
        <v>131.65</v>
      </c>
      <c r="AD321" s="7">
        <f t="shared" si="20"/>
        <v>147.16</v>
      </c>
      <c r="AE321" s="7">
        <f t="shared" si="20"/>
        <v>43.05</v>
      </c>
      <c r="AF321" s="7">
        <f t="shared" si="20"/>
        <v>0</v>
      </c>
      <c r="AG321" s="7">
        <f t="shared" si="20"/>
        <v>0</v>
      </c>
      <c r="AH321" s="7">
        <f t="shared" si="20"/>
        <v>0</v>
      </c>
      <c r="AI321" s="7">
        <f t="shared" si="20"/>
        <v>79.710000000000008</v>
      </c>
      <c r="AJ321" s="7">
        <f t="shared" si="20"/>
        <v>90</v>
      </c>
      <c r="AK321" s="7">
        <f t="shared" si="20"/>
        <v>0</v>
      </c>
      <c r="AL321" s="7">
        <f t="shared" si="20"/>
        <v>480</v>
      </c>
      <c r="AM321" s="7">
        <f t="shared" si="20"/>
        <v>0</v>
      </c>
      <c r="AN321" s="7">
        <f t="shared" si="20"/>
        <v>0</v>
      </c>
      <c r="AO321" s="7">
        <f t="shared" si="20"/>
        <v>0</v>
      </c>
      <c r="AP321" s="7">
        <f t="shared" si="20"/>
        <v>0</v>
      </c>
      <c r="AQ321" s="7">
        <f t="shared" si="20"/>
        <v>0</v>
      </c>
      <c r="AR321" s="7">
        <f t="shared" si="20"/>
        <v>0</v>
      </c>
      <c r="AS321" s="7">
        <f t="shared" si="20"/>
        <v>0</v>
      </c>
      <c r="AT321" s="7">
        <f t="shared" si="20"/>
        <v>523.37</v>
      </c>
      <c r="AU321" s="7">
        <f t="shared" si="20"/>
        <v>2976.6</v>
      </c>
      <c r="AV321" s="7">
        <f t="shared" si="20"/>
        <v>2150</v>
      </c>
      <c r="AW321" s="7">
        <f t="shared" si="20"/>
        <v>0</v>
      </c>
      <c r="AX321" s="7">
        <f t="shared" si="20"/>
        <v>10425</v>
      </c>
      <c r="AY321" s="8">
        <f>SUM(I321:AX321)</f>
        <v>25729.75</v>
      </c>
    </row>
    <row r="322" spans="2:52">
      <c r="H322" s="7"/>
      <c r="J322" s="8">
        <f>SUM(J321:L321)</f>
        <v>4368.9799999999996</v>
      </c>
      <c r="M322" s="8">
        <f>M321+N321+O321+P321+Q321+R321</f>
        <v>415.70000000000005</v>
      </c>
      <c r="T322" s="8">
        <f>SUM(T321:U321)</f>
        <v>12</v>
      </c>
      <c r="Y322" s="8">
        <f>SUM(Y321:Z321)</f>
        <v>417.49</v>
      </c>
      <c r="AA322" s="8">
        <f>SUM(AA321:AE321)</f>
        <v>561.66</v>
      </c>
      <c r="AF322" s="8">
        <f>SUM(AF321:AG321)</f>
        <v>0</v>
      </c>
      <c r="AH322" s="8">
        <f>SUM(AH321:AK321)</f>
        <v>169.71</v>
      </c>
      <c r="AY322" s="8">
        <f>SUM(J321:AX321)</f>
        <v>22630.51</v>
      </c>
    </row>
    <row r="323" spans="2:52">
      <c r="D323" s="4" t="s">
        <v>653</v>
      </c>
      <c r="H323" s="133">
        <f>SUM(H146:H170)</f>
        <v>10190.640000000001</v>
      </c>
      <c r="I323" s="133">
        <f t="shared" ref="I323:AX323" si="21">SUM(I146:I170)</f>
        <v>517.18000000000006</v>
      </c>
      <c r="J323" s="8">
        <f t="shared" si="21"/>
        <v>2619.66</v>
      </c>
      <c r="K323" s="8">
        <f t="shared" si="21"/>
        <v>791.35</v>
      </c>
      <c r="L323" s="8">
        <f t="shared" si="21"/>
        <v>974.73</v>
      </c>
      <c r="M323" s="8">
        <f t="shared" si="21"/>
        <v>53.1</v>
      </c>
      <c r="N323" s="8">
        <f t="shared" si="21"/>
        <v>150.81</v>
      </c>
      <c r="O323" s="8">
        <f t="shared" si="21"/>
        <v>31.48</v>
      </c>
      <c r="P323" s="8">
        <f t="shared" si="21"/>
        <v>0</v>
      </c>
      <c r="Q323" s="8">
        <f t="shared" si="21"/>
        <v>14</v>
      </c>
      <c r="R323" s="8">
        <f t="shared" si="21"/>
        <v>123.08</v>
      </c>
      <c r="S323" s="8">
        <f t="shared" si="21"/>
        <v>42.5</v>
      </c>
      <c r="T323" s="8">
        <f t="shared" si="21"/>
        <v>400</v>
      </c>
      <c r="U323" s="8">
        <f t="shared" si="21"/>
        <v>0</v>
      </c>
      <c r="V323" s="8">
        <f t="shared" si="21"/>
        <v>0</v>
      </c>
      <c r="W323" s="8">
        <f t="shared" si="21"/>
        <v>0</v>
      </c>
      <c r="X323" s="8">
        <f t="shared" si="21"/>
        <v>0</v>
      </c>
      <c r="Y323" s="8">
        <f t="shared" si="21"/>
        <v>157.06</v>
      </c>
      <c r="Z323" s="8">
        <f t="shared" si="21"/>
        <v>882</v>
      </c>
      <c r="AA323" s="8">
        <f t="shared" si="21"/>
        <v>192.78</v>
      </c>
      <c r="AB323" s="8">
        <f t="shared" si="21"/>
        <v>47.02</v>
      </c>
      <c r="AC323" s="8">
        <f t="shared" si="21"/>
        <v>131.65</v>
      </c>
      <c r="AD323" s="8">
        <f t="shared" si="21"/>
        <v>147.16</v>
      </c>
      <c r="AE323" s="8">
        <f t="shared" si="21"/>
        <v>43.05</v>
      </c>
      <c r="AF323" s="8">
        <f t="shared" si="21"/>
        <v>12</v>
      </c>
      <c r="AG323" s="8">
        <f t="shared" si="21"/>
        <v>14.9</v>
      </c>
      <c r="AH323" s="8">
        <f t="shared" si="21"/>
        <v>472.5</v>
      </c>
      <c r="AI323" s="8">
        <f t="shared" si="21"/>
        <v>748.28</v>
      </c>
      <c r="AJ323" s="8">
        <f t="shared" si="21"/>
        <v>0</v>
      </c>
      <c r="AK323" s="8">
        <f t="shared" si="21"/>
        <v>0</v>
      </c>
      <c r="AL323" s="8">
        <f t="shared" si="21"/>
        <v>225.78</v>
      </c>
      <c r="AM323" s="8">
        <f t="shared" si="21"/>
        <v>0</v>
      </c>
      <c r="AN323" s="8">
        <f t="shared" si="21"/>
        <v>0</v>
      </c>
      <c r="AO323" s="8">
        <f t="shared" si="21"/>
        <v>0</v>
      </c>
      <c r="AP323" s="8">
        <f t="shared" si="21"/>
        <v>0</v>
      </c>
      <c r="AQ323" s="8">
        <f t="shared" si="21"/>
        <v>0</v>
      </c>
      <c r="AR323" s="8">
        <f t="shared" si="21"/>
        <v>0</v>
      </c>
      <c r="AS323" s="8">
        <f t="shared" si="21"/>
        <v>0</v>
      </c>
      <c r="AT323" s="8">
        <f t="shared" si="21"/>
        <v>508.11</v>
      </c>
      <c r="AU323" s="8">
        <f t="shared" si="21"/>
        <v>0</v>
      </c>
      <c r="AV323" s="8">
        <f t="shared" si="21"/>
        <v>890.46</v>
      </c>
      <c r="AW323" s="8">
        <f t="shared" si="21"/>
        <v>0</v>
      </c>
      <c r="AX323" s="8">
        <f t="shared" si="21"/>
        <v>0</v>
      </c>
      <c r="AY323" s="8">
        <f>SUM(I323:AX323)</f>
        <v>10190.640000000003</v>
      </c>
    </row>
    <row r="324" spans="2:52">
      <c r="H324" s="7"/>
      <c r="J324" s="8">
        <f>SUM(J323:L323)</f>
        <v>4385.74</v>
      </c>
      <c r="M324" s="8">
        <f>M323+N323+O323+P323+Q323+R323</f>
        <v>372.46999999999997</v>
      </c>
      <c r="T324" s="8">
        <f>SUM(T323:U323)</f>
        <v>400</v>
      </c>
      <c r="Y324" s="8">
        <f>SUM(Y323:Z323)</f>
        <v>1039.06</v>
      </c>
      <c r="AA324" s="8">
        <f>SUM(AA323:AE323)</f>
        <v>561.66</v>
      </c>
      <c r="AF324" s="8">
        <f>SUM(AF323:AG323)</f>
        <v>26.9</v>
      </c>
      <c r="AH324" s="8">
        <f>SUM(AH323:AK323)</f>
        <v>1220.78</v>
      </c>
      <c r="AY324" s="8">
        <f>SUM(J323:AX323)</f>
        <v>9673.4599999999991</v>
      </c>
    </row>
    <row r="325" spans="2:52" s="8" customFormat="1">
      <c r="B325" s="134"/>
      <c r="C325" s="134"/>
      <c r="D325" s="8" t="s">
        <v>654</v>
      </c>
      <c r="G325" s="135"/>
      <c r="H325" s="8">
        <f>SUM(H171:H197)</f>
        <v>13290.800000000001</v>
      </c>
      <c r="I325" s="8">
        <f t="shared" ref="I325:AX325" si="22">SUM(I171:I197)</f>
        <v>893.79</v>
      </c>
      <c r="J325" s="8">
        <f t="shared" si="22"/>
        <v>2619.66</v>
      </c>
      <c r="K325" s="8">
        <f t="shared" si="22"/>
        <v>791.35</v>
      </c>
      <c r="L325" s="8">
        <f t="shared" si="22"/>
        <v>974.73</v>
      </c>
      <c r="M325" s="8">
        <f t="shared" si="22"/>
        <v>38.700000000000003</v>
      </c>
      <c r="N325" s="8">
        <f t="shared" si="22"/>
        <v>37.56</v>
      </c>
      <c r="O325" s="8">
        <f t="shared" si="22"/>
        <v>31.48</v>
      </c>
      <c r="P325" s="8">
        <f t="shared" si="22"/>
        <v>269.10000000000002</v>
      </c>
      <c r="Q325" s="8">
        <f t="shared" si="22"/>
        <v>0</v>
      </c>
      <c r="R325" s="8">
        <f t="shared" si="22"/>
        <v>193.33</v>
      </c>
      <c r="S325" s="8">
        <f t="shared" si="22"/>
        <v>67.5</v>
      </c>
      <c r="T325" s="8">
        <f t="shared" si="22"/>
        <v>1</v>
      </c>
      <c r="U325" s="8">
        <f t="shared" si="22"/>
        <v>0</v>
      </c>
      <c r="V325" s="8">
        <f t="shared" si="22"/>
        <v>0</v>
      </c>
      <c r="W325" s="8">
        <f t="shared" si="22"/>
        <v>0</v>
      </c>
      <c r="X325" s="8">
        <f t="shared" si="22"/>
        <v>0</v>
      </c>
      <c r="Y325" s="8">
        <f t="shared" si="22"/>
        <v>40</v>
      </c>
      <c r="Z325" s="8">
        <f t="shared" si="22"/>
        <v>441</v>
      </c>
      <c r="AA325" s="8">
        <f t="shared" si="22"/>
        <v>262.77999999999997</v>
      </c>
      <c r="AB325" s="8">
        <f t="shared" si="22"/>
        <v>47.02</v>
      </c>
      <c r="AC325" s="8">
        <f t="shared" si="22"/>
        <v>131.65</v>
      </c>
      <c r="AD325" s="8">
        <f t="shared" si="22"/>
        <v>147.16</v>
      </c>
      <c r="AE325" s="8">
        <f t="shared" si="22"/>
        <v>43.05</v>
      </c>
      <c r="AF325" s="8">
        <f t="shared" si="22"/>
        <v>20</v>
      </c>
      <c r="AG325" s="8">
        <f t="shared" si="22"/>
        <v>0</v>
      </c>
      <c r="AH325" s="8">
        <f t="shared" si="22"/>
        <v>26.88</v>
      </c>
      <c r="AI325" s="8">
        <f t="shared" si="22"/>
        <v>14.16</v>
      </c>
      <c r="AJ325" s="8">
        <f t="shared" si="22"/>
        <v>0</v>
      </c>
      <c r="AK325" s="8">
        <f t="shared" si="22"/>
        <v>0</v>
      </c>
      <c r="AL325" s="8">
        <f t="shared" si="22"/>
        <v>414.53</v>
      </c>
      <c r="AM325" s="8">
        <f t="shared" si="22"/>
        <v>87</v>
      </c>
      <c r="AN325" s="8">
        <f t="shared" si="22"/>
        <v>0</v>
      </c>
      <c r="AO325" s="8">
        <f t="shared" si="22"/>
        <v>0</v>
      </c>
      <c r="AP325" s="8">
        <f t="shared" si="22"/>
        <v>0</v>
      </c>
      <c r="AQ325" s="8">
        <f t="shared" si="22"/>
        <v>0</v>
      </c>
      <c r="AR325" s="8">
        <f t="shared" si="22"/>
        <v>250</v>
      </c>
      <c r="AS325" s="8">
        <f t="shared" si="22"/>
        <v>60</v>
      </c>
      <c r="AT325" s="8">
        <f t="shared" si="22"/>
        <v>523.37</v>
      </c>
      <c r="AU325" s="8">
        <f t="shared" si="22"/>
        <v>4614</v>
      </c>
      <c r="AV325" s="8">
        <f t="shared" si="22"/>
        <v>250</v>
      </c>
      <c r="AW325" s="8">
        <f t="shared" si="22"/>
        <v>0</v>
      </c>
      <c r="AX325" s="8">
        <f t="shared" si="22"/>
        <v>0</v>
      </c>
      <c r="AY325" s="8">
        <f>SUM(I325:AX325)</f>
        <v>13290.800000000001</v>
      </c>
    </row>
    <row r="326" spans="2:52">
      <c r="H326" s="7"/>
      <c r="J326" s="132">
        <f>SUM(J325:L325)</f>
        <v>4385.74</v>
      </c>
      <c r="M326" s="132">
        <f>M325+N325+O325+P325+Q325+R325</f>
        <v>570.17000000000007</v>
      </c>
      <c r="T326" s="8">
        <f>SUM(T325:U325)</f>
        <v>1</v>
      </c>
      <c r="Y326" s="132">
        <f>SUM(Y325:Z325)</f>
        <v>481</v>
      </c>
      <c r="AA326" s="132">
        <f>SUM(AA325:AE325)</f>
        <v>631.65999999999985</v>
      </c>
      <c r="AF326" s="132">
        <f>SUM(AF325:AG325)</f>
        <v>20</v>
      </c>
      <c r="AH326" s="132">
        <f>SUM(AH325:AK325)</f>
        <v>41.04</v>
      </c>
      <c r="AY326" s="8">
        <f>SUM(J325:AX325)</f>
        <v>12397.009999999998</v>
      </c>
    </row>
    <row r="327" spans="2:52">
      <c r="D327" s="4" t="s">
        <v>655</v>
      </c>
      <c r="H327" s="7">
        <f t="shared" ref="H327:AX327" si="23">SUM(H198:H216)</f>
        <v>7048.6200000000008</v>
      </c>
      <c r="I327" s="7">
        <f t="shared" si="23"/>
        <v>253.90000000000003</v>
      </c>
      <c r="J327" s="7">
        <f t="shared" si="23"/>
        <v>2619.66</v>
      </c>
      <c r="K327" s="7">
        <f t="shared" si="23"/>
        <v>791.35</v>
      </c>
      <c r="L327" s="7">
        <f t="shared" si="23"/>
        <v>974.73</v>
      </c>
      <c r="M327" s="7">
        <f t="shared" si="23"/>
        <v>39.6</v>
      </c>
      <c r="N327" s="7">
        <f t="shared" si="23"/>
        <v>38.26</v>
      </c>
      <c r="O327" s="7">
        <f t="shared" si="23"/>
        <v>31.48</v>
      </c>
      <c r="P327" s="7">
        <f t="shared" si="23"/>
        <v>0</v>
      </c>
      <c r="Q327" s="7">
        <f t="shared" si="23"/>
        <v>0</v>
      </c>
      <c r="R327" s="7">
        <f t="shared" si="23"/>
        <v>198.20999999999998</v>
      </c>
      <c r="S327" s="7">
        <f t="shared" si="23"/>
        <v>104.5</v>
      </c>
      <c r="T327" s="7">
        <f t="shared" si="23"/>
        <v>108.5</v>
      </c>
      <c r="U327" s="7">
        <f t="shared" si="23"/>
        <v>16</v>
      </c>
      <c r="V327" s="7">
        <f t="shared" si="23"/>
        <v>0</v>
      </c>
      <c r="W327" s="7">
        <f t="shared" si="23"/>
        <v>0</v>
      </c>
      <c r="X327" s="7">
        <f t="shared" si="23"/>
        <v>0</v>
      </c>
      <c r="Y327" s="7">
        <f t="shared" si="23"/>
        <v>40</v>
      </c>
      <c r="Z327" s="7">
        <f t="shared" si="23"/>
        <v>441</v>
      </c>
      <c r="AA327" s="7">
        <f t="shared" si="23"/>
        <v>192.78</v>
      </c>
      <c r="AB327" s="7">
        <f t="shared" si="23"/>
        <v>47.02</v>
      </c>
      <c r="AC327" s="7">
        <f t="shared" si="23"/>
        <v>131.65</v>
      </c>
      <c r="AD327" s="7">
        <f t="shared" si="23"/>
        <v>147.16</v>
      </c>
      <c r="AE327" s="7">
        <f t="shared" si="23"/>
        <v>43.05</v>
      </c>
      <c r="AF327" s="7">
        <f t="shared" si="23"/>
        <v>0</v>
      </c>
      <c r="AG327" s="7">
        <f t="shared" si="23"/>
        <v>0</v>
      </c>
      <c r="AH327" s="7">
        <f t="shared" si="23"/>
        <v>0</v>
      </c>
      <c r="AI327" s="7">
        <f t="shared" si="23"/>
        <v>7.5</v>
      </c>
      <c r="AJ327" s="7">
        <f t="shared" si="23"/>
        <v>0</v>
      </c>
      <c r="AK327" s="7">
        <f t="shared" si="23"/>
        <v>0</v>
      </c>
      <c r="AL327" s="7">
        <f t="shared" si="23"/>
        <v>-0.99</v>
      </c>
      <c r="AM327" s="7">
        <f t="shared" si="23"/>
        <v>0</v>
      </c>
      <c r="AN327" s="7">
        <f t="shared" si="23"/>
        <v>0</v>
      </c>
      <c r="AO327" s="7">
        <f t="shared" si="23"/>
        <v>0</v>
      </c>
      <c r="AP327" s="7">
        <f t="shared" si="23"/>
        <v>0</v>
      </c>
      <c r="AQ327" s="7">
        <f t="shared" si="23"/>
        <v>0</v>
      </c>
      <c r="AR327" s="7">
        <f t="shared" si="23"/>
        <v>0</v>
      </c>
      <c r="AS327" s="7">
        <f t="shared" si="23"/>
        <v>0</v>
      </c>
      <c r="AT327" s="7">
        <f t="shared" si="23"/>
        <v>508.11</v>
      </c>
      <c r="AU327" s="7">
        <f t="shared" si="23"/>
        <v>315.14999999999998</v>
      </c>
      <c r="AV327" s="7">
        <f t="shared" si="23"/>
        <v>0</v>
      </c>
      <c r="AW327" s="7">
        <f t="shared" si="23"/>
        <v>0</v>
      </c>
      <c r="AX327" s="7">
        <f t="shared" si="23"/>
        <v>0</v>
      </c>
      <c r="AY327" s="8">
        <f>SUM(I327:AX327)</f>
        <v>7048.619999999999</v>
      </c>
    </row>
    <row r="328" spans="2:52">
      <c r="H328" s="7"/>
      <c r="J328" s="132">
        <f>SUM(J327:L327)</f>
        <v>4385.74</v>
      </c>
      <c r="M328" s="132">
        <f>M327+N327+O327+P327+Q327+R327</f>
        <v>307.54999999999995</v>
      </c>
      <c r="T328" s="8">
        <f>SUM(T327:U327)</f>
        <v>124.5</v>
      </c>
      <c r="Y328" s="132">
        <f>SUM(Y327:Z327)</f>
        <v>481</v>
      </c>
      <c r="AA328" s="132">
        <f>SUM(AA327:AE327)</f>
        <v>561.66</v>
      </c>
      <c r="AF328" s="132">
        <f>SUM(AF327:AG327)</f>
        <v>0</v>
      </c>
      <c r="AH328" s="132">
        <f>SUM(AH327:AK327)</f>
        <v>7.5</v>
      </c>
      <c r="AY328" s="8">
        <f>SUM(J327:AX327)</f>
        <v>6794.7199999999993</v>
      </c>
    </row>
    <row r="329" spans="2:52">
      <c r="D329" s="4" t="s">
        <v>656</v>
      </c>
      <c r="H329" s="7">
        <f>SUM(H217:H244)</f>
        <v>13365.999999999996</v>
      </c>
      <c r="I329" s="7">
        <f t="shared" ref="I329:AX329" si="24">SUM(I217:I244)</f>
        <v>1005.97</v>
      </c>
      <c r="J329" s="7">
        <f t="shared" si="24"/>
        <v>2619.66</v>
      </c>
      <c r="K329" s="7">
        <f t="shared" si="24"/>
        <v>791.55</v>
      </c>
      <c r="L329" s="7">
        <f t="shared" si="24"/>
        <v>974.73</v>
      </c>
      <c r="M329" s="7">
        <f t="shared" si="24"/>
        <v>41.85</v>
      </c>
      <c r="N329" s="7">
        <f t="shared" si="24"/>
        <v>32.020000000000003</v>
      </c>
      <c r="O329" s="7">
        <f t="shared" si="24"/>
        <v>31.35</v>
      </c>
      <c r="P329" s="7">
        <f t="shared" si="24"/>
        <v>0</v>
      </c>
      <c r="Q329" s="7">
        <f t="shared" si="24"/>
        <v>0</v>
      </c>
      <c r="R329" s="7">
        <f t="shared" si="24"/>
        <v>145.97</v>
      </c>
      <c r="S329" s="7">
        <f t="shared" si="24"/>
        <v>79.5</v>
      </c>
      <c r="T329" s="7">
        <f t="shared" si="24"/>
        <v>1583.2</v>
      </c>
      <c r="U329" s="7">
        <f t="shared" si="24"/>
        <v>0</v>
      </c>
      <c r="V329" s="7">
        <f t="shared" si="24"/>
        <v>0</v>
      </c>
      <c r="W329" s="7">
        <f t="shared" si="24"/>
        <v>0</v>
      </c>
      <c r="X329" s="7">
        <f t="shared" si="24"/>
        <v>0</v>
      </c>
      <c r="Y329" s="7">
        <f t="shared" si="24"/>
        <v>10</v>
      </c>
      <c r="Z329" s="7">
        <f t="shared" si="24"/>
        <v>441</v>
      </c>
      <c r="AA329" s="7">
        <f t="shared" si="24"/>
        <v>192.78</v>
      </c>
      <c r="AB329" s="7">
        <f t="shared" si="24"/>
        <v>47.02</v>
      </c>
      <c r="AC329" s="7">
        <f t="shared" si="24"/>
        <v>131.65</v>
      </c>
      <c r="AD329" s="7">
        <f t="shared" si="24"/>
        <v>147.16</v>
      </c>
      <c r="AE329" s="7">
        <f t="shared" si="24"/>
        <v>43.05</v>
      </c>
      <c r="AF329" s="7">
        <f t="shared" si="24"/>
        <v>0</v>
      </c>
      <c r="AG329" s="7">
        <f t="shared" si="24"/>
        <v>13.48</v>
      </c>
      <c r="AH329" s="7">
        <f t="shared" si="24"/>
        <v>14.97</v>
      </c>
      <c r="AI329" s="7">
        <f t="shared" si="24"/>
        <v>109.94</v>
      </c>
      <c r="AJ329" s="7">
        <f t="shared" si="24"/>
        <v>619</v>
      </c>
      <c r="AK329" s="7">
        <f t="shared" si="24"/>
        <v>0</v>
      </c>
      <c r="AL329" s="7">
        <f t="shared" si="24"/>
        <v>299.77999999999997</v>
      </c>
      <c r="AM329" s="7">
        <f t="shared" si="24"/>
        <v>0</v>
      </c>
      <c r="AN329" s="7">
        <f t="shared" si="24"/>
        <v>0</v>
      </c>
      <c r="AO329" s="7">
        <f t="shared" si="24"/>
        <v>0</v>
      </c>
      <c r="AP329" s="7">
        <f t="shared" si="24"/>
        <v>0</v>
      </c>
      <c r="AQ329" s="7">
        <f t="shared" si="24"/>
        <v>0</v>
      </c>
      <c r="AR329" s="7">
        <f t="shared" si="24"/>
        <v>250</v>
      </c>
      <c r="AS329" s="7">
        <f t="shared" si="24"/>
        <v>0</v>
      </c>
      <c r="AT329" s="7">
        <f t="shared" si="24"/>
        <v>593.37</v>
      </c>
      <c r="AU329" s="7">
        <f t="shared" si="24"/>
        <v>1125</v>
      </c>
      <c r="AV329" s="7">
        <f t="shared" si="24"/>
        <v>2022</v>
      </c>
      <c r="AW329" s="7">
        <f t="shared" si="24"/>
        <v>0</v>
      </c>
      <c r="AX329" s="7">
        <f t="shared" si="24"/>
        <v>0</v>
      </c>
      <c r="AY329" s="8">
        <f>SUM(I329:AX329)</f>
        <v>13366.000000000002</v>
      </c>
    </row>
    <row r="330" spans="2:52">
      <c r="H330" s="7"/>
      <c r="J330" s="132">
        <f>SUM(J329:L329)</f>
        <v>4385.9400000000005</v>
      </c>
      <c r="M330" s="132">
        <f>M329+N329+O329+P329+Q329+R329</f>
        <v>251.19</v>
      </c>
      <c r="T330" s="8">
        <f>SUM(T329:U329)</f>
        <v>1583.2</v>
      </c>
      <c r="Y330" s="132">
        <f>SUM(Y329:Z329)</f>
        <v>451</v>
      </c>
      <c r="AA330" s="132">
        <f>SUM(AA329:AE329)</f>
        <v>561.66</v>
      </c>
      <c r="AF330" s="132">
        <f>SUM(AF329:AG329)</f>
        <v>13.48</v>
      </c>
      <c r="AH330" s="132">
        <f>SUM(AH329:AK329)</f>
        <v>743.91</v>
      </c>
      <c r="AY330" s="8">
        <f>SUM(J329:AX329)</f>
        <v>12360.030000000002</v>
      </c>
    </row>
    <row r="331" spans="2:52">
      <c r="B331" s="124"/>
      <c r="C331" s="125"/>
      <c r="D331" s="7" t="s">
        <v>657</v>
      </c>
      <c r="E331" s="7"/>
      <c r="F331" s="86"/>
      <c r="G331" s="136"/>
      <c r="H331" s="32">
        <f>SUM(H245:H271)</f>
        <v>29023.850000000002</v>
      </c>
      <c r="I331" s="32">
        <f t="shared" ref="I331:AX331" si="25">SUM(I245:I271)</f>
        <v>3933.73</v>
      </c>
      <c r="J331" s="32">
        <f t="shared" si="25"/>
        <v>2619.66</v>
      </c>
      <c r="K331" s="32">
        <f t="shared" si="25"/>
        <v>791.35</v>
      </c>
      <c r="L331" s="32">
        <f t="shared" si="25"/>
        <v>974.73</v>
      </c>
      <c r="M331" s="32">
        <f t="shared" si="25"/>
        <v>26.1</v>
      </c>
      <c r="N331" s="32">
        <f t="shared" si="25"/>
        <v>33.44</v>
      </c>
      <c r="O331" s="32">
        <f t="shared" si="25"/>
        <v>37.75</v>
      </c>
      <c r="P331" s="32">
        <f t="shared" si="25"/>
        <v>0</v>
      </c>
      <c r="Q331" s="32">
        <f t="shared" si="25"/>
        <v>0</v>
      </c>
      <c r="R331" s="32">
        <f t="shared" si="25"/>
        <v>195.26000000000002</v>
      </c>
      <c r="S331" s="32">
        <f t="shared" si="25"/>
        <v>153</v>
      </c>
      <c r="T331" s="32">
        <f t="shared" si="25"/>
        <v>0</v>
      </c>
      <c r="U331" s="32">
        <f t="shared" si="25"/>
        <v>465</v>
      </c>
      <c r="V331" s="32">
        <f t="shared" si="25"/>
        <v>80</v>
      </c>
      <c r="W331" s="32">
        <f t="shared" si="25"/>
        <v>0</v>
      </c>
      <c r="X331" s="32">
        <f t="shared" si="25"/>
        <v>0</v>
      </c>
      <c r="Y331" s="32">
        <f t="shared" si="25"/>
        <v>77</v>
      </c>
      <c r="Z331" s="32">
        <f t="shared" si="25"/>
        <v>441</v>
      </c>
      <c r="AA331" s="32">
        <f t="shared" si="25"/>
        <v>192.78</v>
      </c>
      <c r="AB331" s="32">
        <f t="shared" si="25"/>
        <v>47.02</v>
      </c>
      <c r="AC331" s="32">
        <f t="shared" si="25"/>
        <v>131.65</v>
      </c>
      <c r="AD331" s="32">
        <f t="shared" si="25"/>
        <v>147.16</v>
      </c>
      <c r="AE331" s="32">
        <f t="shared" si="25"/>
        <v>43.05</v>
      </c>
      <c r="AF331" s="32">
        <f t="shared" si="25"/>
        <v>294.8</v>
      </c>
      <c r="AG331" s="32">
        <f t="shared" si="25"/>
        <v>0</v>
      </c>
      <c r="AH331" s="32">
        <f t="shared" si="25"/>
        <v>3456</v>
      </c>
      <c r="AI331" s="32">
        <f t="shared" si="25"/>
        <v>0</v>
      </c>
      <c r="AJ331" s="32">
        <f t="shared" si="25"/>
        <v>0</v>
      </c>
      <c r="AK331" s="32">
        <f t="shared" si="25"/>
        <v>0</v>
      </c>
      <c r="AL331" s="32">
        <f t="shared" si="25"/>
        <v>0</v>
      </c>
      <c r="AM331" s="32">
        <f t="shared" si="25"/>
        <v>1460</v>
      </c>
      <c r="AN331" s="32">
        <f t="shared" si="25"/>
        <v>0</v>
      </c>
      <c r="AO331" s="32">
        <f t="shared" si="25"/>
        <v>0</v>
      </c>
      <c r="AP331" s="32">
        <f t="shared" si="25"/>
        <v>0</v>
      </c>
      <c r="AQ331" s="32">
        <f t="shared" si="25"/>
        <v>0</v>
      </c>
      <c r="AR331" s="32">
        <f t="shared" si="25"/>
        <v>0</v>
      </c>
      <c r="AS331" s="32">
        <f t="shared" si="25"/>
        <v>0</v>
      </c>
      <c r="AT331" s="32">
        <f t="shared" si="25"/>
        <v>573.37</v>
      </c>
      <c r="AU331" s="32">
        <f t="shared" si="25"/>
        <v>0</v>
      </c>
      <c r="AV331" s="32">
        <f t="shared" si="25"/>
        <v>12850</v>
      </c>
      <c r="AW331" s="32">
        <f t="shared" si="25"/>
        <v>0</v>
      </c>
      <c r="AX331" s="32">
        <f t="shared" si="25"/>
        <v>0</v>
      </c>
      <c r="AY331" s="8">
        <f>SUM(I331:AX331)</f>
        <v>29023.85</v>
      </c>
      <c r="AZ331" s="4">
        <f>AY331-H331</f>
        <v>0</v>
      </c>
    </row>
    <row r="332" spans="2:52">
      <c r="H332" s="7"/>
      <c r="J332" s="132">
        <f>SUM(J331:L331)</f>
        <v>4385.74</v>
      </c>
      <c r="M332" s="132">
        <f>M331+N331+O331+P331+Q331+R331</f>
        <v>292.55</v>
      </c>
      <c r="T332" s="8">
        <f>SUM(T331:U331)</f>
        <v>465</v>
      </c>
      <c r="Y332" s="132">
        <f>SUM(Y331:Z331)</f>
        <v>518</v>
      </c>
      <c r="AA332" s="132">
        <f>SUM(AA331:AE331)</f>
        <v>561.66</v>
      </c>
      <c r="AF332" s="132">
        <f>SUM(AF331:AG331)</f>
        <v>294.8</v>
      </c>
      <c r="AH332" s="132">
        <f>SUM(AH331:AK331)</f>
        <v>3456</v>
      </c>
      <c r="AY332" s="8">
        <f>SUM(J331:AX331)</f>
        <v>25090.120000000003</v>
      </c>
    </row>
    <row r="333" spans="2:52">
      <c r="D333" s="4" t="s">
        <v>658</v>
      </c>
      <c r="H333" s="7">
        <f>SUM(H272:H295)</f>
        <v>9752.2099999999991</v>
      </c>
      <c r="I333" s="7">
        <f t="shared" ref="I333:AX333" si="26">SUM(I272:I295)</f>
        <v>461.12000000000006</v>
      </c>
      <c r="J333" s="7">
        <f t="shared" si="26"/>
        <v>2619.66</v>
      </c>
      <c r="K333" s="7">
        <f t="shared" si="26"/>
        <v>791.35</v>
      </c>
      <c r="L333" s="7">
        <f t="shared" si="26"/>
        <v>974.73</v>
      </c>
      <c r="M333" s="7">
        <f t="shared" si="26"/>
        <v>61.110000000000007</v>
      </c>
      <c r="N333" s="7">
        <f t="shared" si="26"/>
        <v>32.020000000000003</v>
      </c>
      <c r="O333" s="7">
        <f t="shared" si="26"/>
        <v>31.35</v>
      </c>
      <c r="P333" s="7">
        <f t="shared" si="26"/>
        <v>0</v>
      </c>
      <c r="Q333" s="7">
        <f t="shared" si="26"/>
        <v>0</v>
      </c>
      <c r="R333" s="7">
        <f t="shared" si="26"/>
        <v>208.66</v>
      </c>
      <c r="S333" s="7">
        <f t="shared" si="26"/>
        <v>130.5</v>
      </c>
      <c r="T333" s="7">
        <f t="shared" si="26"/>
        <v>0</v>
      </c>
      <c r="U333" s="7">
        <f t="shared" si="26"/>
        <v>686.5</v>
      </c>
      <c r="V333" s="7">
        <f t="shared" si="26"/>
        <v>0</v>
      </c>
      <c r="W333" s="7">
        <f t="shared" si="26"/>
        <v>0</v>
      </c>
      <c r="X333" s="7">
        <f t="shared" si="26"/>
        <v>0</v>
      </c>
      <c r="Y333" s="7">
        <f t="shared" si="26"/>
        <v>0</v>
      </c>
      <c r="Z333" s="7">
        <f t="shared" si="26"/>
        <v>441</v>
      </c>
      <c r="AA333" s="7">
        <f t="shared" si="26"/>
        <v>192.78</v>
      </c>
      <c r="AB333" s="7">
        <f t="shared" si="26"/>
        <v>47.02</v>
      </c>
      <c r="AC333" s="7">
        <f t="shared" si="26"/>
        <v>131.65</v>
      </c>
      <c r="AD333" s="7">
        <f t="shared" si="26"/>
        <v>147.16</v>
      </c>
      <c r="AE333" s="7">
        <f t="shared" si="26"/>
        <v>43.05</v>
      </c>
      <c r="AF333" s="7">
        <f t="shared" si="26"/>
        <v>345.90999999999997</v>
      </c>
      <c r="AG333" s="7">
        <f t="shared" si="26"/>
        <v>0</v>
      </c>
      <c r="AH333" s="7">
        <f t="shared" si="26"/>
        <v>17.940000000000001</v>
      </c>
      <c r="AI333" s="7">
        <f t="shared" si="26"/>
        <v>23.259999999999998</v>
      </c>
      <c r="AJ333" s="7">
        <f t="shared" si="26"/>
        <v>0</v>
      </c>
      <c r="AK333" s="7">
        <f t="shared" si="26"/>
        <v>50</v>
      </c>
      <c r="AL333" s="7">
        <f t="shared" si="26"/>
        <v>8.86</v>
      </c>
      <c r="AM333" s="7">
        <f t="shared" si="26"/>
        <v>0</v>
      </c>
      <c r="AN333" s="7">
        <f t="shared" si="26"/>
        <v>0</v>
      </c>
      <c r="AO333" s="7">
        <f t="shared" si="26"/>
        <v>0</v>
      </c>
      <c r="AP333" s="7">
        <f t="shared" si="26"/>
        <v>0</v>
      </c>
      <c r="AQ333" s="7">
        <f t="shared" si="26"/>
        <v>0</v>
      </c>
      <c r="AR333" s="7">
        <f t="shared" si="26"/>
        <v>0</v>
      </c>
      <c r="AS333" s="7">
        <f t="shared" si="26"/>
        <v>0</v>
      </c>
      <c r="AT333" s="7">
        <f t="shared" si="26"/>
        <v>1306.58</v>
      </c>
      <c r="AU333" s="7">
        <f t="shared" si="26"/>
        <v>0</v>
      </c>
      <c r="AV333" s="7">
        <f t="shared" si="26"/>
        <v>1000</v>
      </c>
      <c r="AW333" s="7">
        <f t="shared" si="26"/>
        <v>0</v>
      </c>
      <c r="AX333" s="7">
        <f t="shared" si="26"/>
        <v>0</v>
      </c>
      <c r="AY333" s="8">
        <f>SUM(I333:AX333)</f>
        <v>9752.2099999999991</v>
      </c>
    </row>
    <row r="334" spans="2:52">
      <c r="H334" s="7"/>
      <c r="J334" s="132">
        <f>SUM(J333:L333)</f>
        <v>4385.74</v>
      </c>
      <c r="M334" s="132">
        <f>M333+N333+O333+P333+Q333+R333</f>
        <v>333.14</v>
      </c>
      <c r="T334" s="8">
        <f>SUM(T333:U333)</f>
        <v>686.5</v>
      </c>
      <c r="Y334" s="132">
        <f>SUM(Y333:Z333)</f>
        <v>441</v>
      </c>
      <c r="AA334" s="132">
        <f>SUM(AA333:AE333)</f>
        <v>561.66</v>
      </c>
      <c r="AF334" s="132">
        <f>SUM(AF333:AG333)</f>
        <v>345.90999999999997</v>
      </c>
      <c r="AH334" s="132">
        <f>SUM(AH333:AK333)</f>
        <v>91.2</v>
      </c>
      <c r="AY334" s="8">
        <f>SUM(J333:AX333)</f>
        <v>9291.09</v>
      </c>
    </row>
    <row r="336" spans="2:52">
      <c r="B336" s="124"/>
      <c r="C336" s="125"/>
      <c r="D336" s="7"/>
      <c r="E336" s="7"/>
      <c r="F336" s="86"/>
      <c r="H336" s="137"/>
      <c r="I336" s="32"/>
      <c r="AY336" s="8">
        <f>AY311+AY313+AY315+AY317+AY319+AY321+AY323+AY325+AY327+AY329+AY331+AY333</f>
        <v>163580.45000000001</v>
      </c>
      <c r="AZ336" s="4">
        <f>AY336-H336</f>
        <v>163580.45000000001</v>
      </c>
    </row>
  </sheetData>
  <autoFilter ref="A1:AZ301"/>
  <printOptions gridLines="1"/>
  <pageMargins left="0.34" right="0.25" top="0.51" bottom="0.51" header="0.31496062992126" footer="0.31496062992126"/>
  <pageSetup paperSize="9" scale="49" fitToWidth="3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"/>
  <sheetViews>
    <sheetView view="pageBreakPreview" zoomScale="80" zoomScaleNormal="80" zoomScaleSheetLayoutView="80" workbookViewId="0">
      <pane xSplit="2" ySplit="4" topLeftCell="C5" activePane="bottomRight" state="frozen"/>
      <selection activeCell="I292" sqref="I292"/>
      <selection pane="topRight" activeCell="I292" sqref="I292"/>
      <selection pane="bottomLeft" activeCell="I292" sqref="I292"/>
      <selection pane="bottomRight" activeCell="I292" sqref="I292"/>
    </sheetView>
  </sheetViews>
  <sheetFormatPr defaultRowHeight="15"/>
  <cols>
    <col min="1" max="1" width="13.42578125" style="142" customWidth="1"/>
    <col min="2" max="2" width="30.140625" bestFit="1" customWidth="1"/>
    <col min="3" max="3" width="30.140625" customWidth="1"/>
    <col min="4" max="4" width="8.85546875" bestFit="1" customWidth="1"/>
    <col min="5" max="5" width="3.5703125" style="139" customWidth="1"/>
    <col min="6" max="6" width="13" style="140" customWidth="1"/>
    <col min="7" max="8" width="12.28515625" style="141" bestFit="1" customWidth="1"/>
    <col min="9" max="9" width="9.28515625" style="141" bestFit="1" customWidth="1"/>
    <col min="10" max="10" width="11.28515625" style="141" bestFit="1" customWidth="1"/>
    <col min="11" max="11" width="12.28515625" style="141" bestFit="1" customWidth="1"/>
    <col min="12" max="12" width="10.85546875" style="141" bestFit="1" customWidth="1"/>
    <col min="13" max="13" width="9.140625" style="141" customWidth="1"/>
    <col min="14" max="14" width="13.5703125" style="141" customWidth="1"/>
    <col min="15" max="15" width="11" style="141" customWidth="1"/>
    <col min="16" max="17" width="12.28515625" style="141" bestFit="1" customWidth="1"/>
    <col min="18" max="18" width="12.5703125" style="141" customWidth="1"/>
    <col min="19" max="19" width="9.140625" customWidth="1"/>
    <col min="20" max="20" width="10.85546875" bestFit="1" customWidth="1"/>
    <col min="21" max="21" width="9.5703125" bestFit="1" customWidth="1"/>
    <col min="22" max="22" width="10.85546875" bestFit="1" customWidth="1"/>
    <col min="23" max="23" width="9.85546875" bestFit="1" customWidth="1"/>
    <col min="26" max="26" width="10.85546875" bestFit="1" customWidth="1"/>
  </cols>
  <sheetData>
    <row r="1" spans="1:20">
      <c r="A1" s="138" t="s">
        <v>0</v>
      </c>
    </row>
    <row r="2" spans="1:20">
      <c r="A2" s="138" t="s">
        <v>659</v>
      </c>
    </row>
    <row r="3" spans="1:20">
      <c r="A3" s="138"/>
      <c r="N3" s="141" t="s">
        <v>660</v>
      </c>
    </row>
    <row r="4" spans="1:20">
      <c r="A4" s="142" t="s">
        <v>661</v>
      </c>
      <c r="B4" t="s">
        <v>662</v>
      </c>
      <c r="C4" t="s">
        <v>663</v>
      </c>
      <c r="D4" t="s">
        <v>664</v>
      </c>
      <c r="F4" s="140" t="s">
        <v>43</v>
      </c>
      <c r="G4" s="141" t="s">
        <v>665</v>
      </c>
      <c r="H4" s="141" t="s">
        <v>666</v>
      </c>
      <c r="I4" s="141" t="s">
        <v>667</v>
      </c>
      <c r="J4" s="141" t="s">
        <v>668</v>
      </c>
      <c r="K4" s="141" t="s">
        <v>23</v>
      </c>
      <c r="L4" s="141" t="s">
        <v>669</v>
      </c>
      <c r="M4" s="141" t="s">
        <v>670</v>
      </c>
      <c r="N4" s="141" t="s">
        <v>671</v>
      </c>
      <c r="O4" s="141" t="s">
        <v>672</v>
      </c>
      <c r="P4" s="143" t="s">
        <v>673</v>
      </c>
      <c r="Q4" s="144" t="s">
        <v>674</v>
      </c>
    </row>
    <row r="5" spans="1:20">
      <c r="A5" s="142">
        <v>43567</v>
      </c>
      <c r="B5" t="s">
        <v>46</v>
      </c>
      <c r="C5" t="s">
        <v>675</v>
      </c>
      <c r="D5" s="145"/>
      <c r="E5" s="139" t="s">
        <v>353</v>
      </c>
      <c r="F5" s="140">
        <v>10054.370000000001</v>
      </c>
      <c r="G5" s="141">
        <v>10054.370000000001</v>
      </c>
      <c r="R5" s="141">
        <f t="shared" ref="R5:R68" si="0">SUM(G5:Q5)</f>
        <v>10054.370000000001</v>
      </c>
      <c r="T5" t="str">
        <f>IF(SUM(G5:Q5)=F5,"",SUM(G5:Q5)-F5)</f>
        <v/>
      </c>
    </row>
    <row r="6" spans="1:20">
      <c r="A6" s="142">
        <v>43571</v>
      </c>
      <c r="B6" t="s">
        <v>676</v>
      </c>
      <c r="C6" t="s">
        <v>677</v>
      </c>
      <c r="D6" s="145" t="s">
        <v>678</v>
      </c>
      <c r="E6" s="139" t="s">
        <v>353</v>
      </c>
      <c r="F6" s="140">
        <v>370</v>
      </c>
      <c r="K6" s="141">
        <v>370</v>
      </c>
      <c r="R6" s="141">
        <f>SUM(G6:Q6)</f>
        <v>370</v>
      </c>
      <c r="T6" t="str">
        <f>IF(SUM(G6:Q6)=F6,"",SUM(G6:Q6)-F6)</f>
        <v/>
      </c>
    </row>
    <row r="7" spans="1:20">
      <c r="B7" t="s">
        <v>679</v>
      </c>
      <c r="C7" t="s">
        <v>680</v>
      </c>
      <c r="D7" t="s">
        <v>681</v>
      </c>
      <c r="E7" s="139" t="s">
        <v>353</v>
      </c>
      <c r="F7" s="140">
        <v>100</v>
      </c>
      <c r="K7" s="141">
        <v>100</v>
      </c>
      <c r="P7" s="146"/>
      <c r="R7" s="141">
        <f>SUM(G7:Q7)</f>
        <v>100</v>
      </c>
      <c r="T7" t="str">
        <f>IF(SUM(G7:Q7)=F7,"",SUM(G7:Q7)-F7)</f>
        <v/>
      </c>
    </row>
    <row r="8" spans="1:20">
      <c r="A8" s="142">
        <v>43585</v>
      </c>
      <c r="B8" t="s">
        <v>682</v>
      </c>
      <c r="C8" t="s">
        <v>683</v>
      </c>
      <c r="E8" s="139" t="s">
        <v>353</v>
      </c>
      <c r="F8" s="140">
        <v>49505.5</v>
      </c>
      <c r="H8" s="141">
        <v>49505.5</v>
      </c>
      <c r="R8" s="141">
        <f t="shared" si="0"/>
        <v>49505.5</v>
      </c>
      <c r="T8" t="str">
        <f t="shared" ref="T8:T24" si="1">IF(SUM(G8:Q8)=F8,"",SUM(G8:Q8)-F8)</f>
        <v/>
      </c>
    </row>
    <row r="9" spans="1:20">
      <c r="A9" s="142">
        <v>43601</v>
      </c>
      <c r="B9" t="s">
        <v>684</v>
      </c>
      <c r="C9" t="s">
        <v>685</v>
      </c>
      <c r="E9" s="139" t="s">
        <v>353</v>
      </c>
      <c r="F9" s="140">
        <v>125</v>
      </c>
      <c r="K9" s="141">
        <v>125</v>
      </c>
      <c r="R9" s="141">
        <f t="shared" si="0"/>
        <v>125</v>
      </c>
      <c r="S9" s="141"/>
      <c r="T9" t="str">
        <f t="shared" si="1"/>
        <v/>
      </c>
    </row>
    <row r="10" spans="1:20">
      <c r="A10" s="142">
        <v>43602</v>
      </c>
      <c r="B10" t="s">
        <v>686</v>
      </c>
      <c r="C10" t="s">
        <v>687</v>
      </c>
      <c r="E10" s="139" t="s">
        <v>353</v>
      </c>
      <c r="F10" s="140">
        <v>13.75</v>
      </c>
      <c r="J10" s="141">
        <v>13.75</v>
      </c>
      <c r="R10" s="141">
        <f t="shared" si="0"/>
        <v>13.75</v>
      </c>
      <c r="T10" t="str">
        <f t="shared" si="1"/>
        <v/>
      </c>
    </row>
    <row r="11" spans="1:20">
      <c r="A11" s="142">
        <v>43627</v>
      </c>
      <c r="B11" t="s">
        <v>684</v>
      </c>
      <c r="C11" t="s">
        <v>688</v>
      </c>
      <c r="E11" s="139" t="s">
        <v>353</v>
      </c>
      <c r="F11" s="140">
        <v>75</v>
      </c>
      <c r="K11" s="141">
        <v>75</v>
      </c>
      <c r="R11" s="141">
        <f t="shared" si="0"/>
        <v>75</v>
      </c>
      <c r="T11" t="str">
        <f t="shared" si="1"/>
        <v/>
      </c>
    </row>
    <row r="12" spans="1:20">
      <c r="B12" t="s">
        <v>689</v>
      </c>
      <c r="C12" t="s">
        <v>690</v>
      </c>
      <c r="E12" s="139" t="s">
        <v>353</v>
      </c>
      <c r="F12" s="140">
        <v>6.88</v>
      </c>
      <c r="J12" s="141">
        <v>6.88</v>
      </c>
      <c r="R12" s="141">
        <f t="shared" si="0"/>
        <v>6.88</v>
      </c>
      <c r="T12" t="str">
        <f t="shared" si="1"/>
        <v/>
      </c>
    </row>
    <row r="13" spans="1:20">
      <c r="B13" t="s">
        <v>691</v>
      </c>
      <c r="C13" t="s">
        <v>692</v>
      </c>
      <c r="E13" s="139" t="s">
        <v>353</v>
      </c>
      <c r="F13" s="140">
        <v>13.75</v>
      </c>
      <c r="J13" s="141">
        <v>13.75</v>
      </c>
      <c r="R13" s="141">
        <f t="shared" si="0"/>
        <v>13.75</v>
      </c>
      <c r="T13" s="141">
        <f>SUM(R11:R13)</f>
        <v>95.63</v>
      </c>
    </row>
    <row r="14" spans="1:20">
      <c r="A14" s="142">
        <v>43629</v>
      </c>
      <c r="B14" t="s">
        <v>682</v>
      </c>
      <c r="C14" t="s">
        <v>693</v>
      </c>
      <c r="D14" t="s">
        <v>694</v>
      </c>
      <c r="E14" s="139" t="s">
        <v>353</v>
      </c>
      <c r="F14" s="140">
        <v>2813.7</v>
      </c>
      <c r="L14" s="141">
        <v>2813.7</v>
      </c>
      <c r="R14" s="141">
        <f t="shared" si="0"/>
        <v>2813.7</v>
      </c>
      <c r="T14" t="str">
        <f t="shared" si="1"/>
        <v/>
      </c>
    </row>
    <row r="15" spans="1:20">
      <c r="A15" s="142">
        <v>43634</v>
      </c>
      <c r="B15" t="s">
        <v>695</v>
      </c>
      <c r="C15" t="s">
        <v>696</v>
      </c>
      <c r="D15" t="s">
        <v>697</v>
      </c>
      <c r="E15" s="139" t="s">
        <v>353</v>
      </c>
      <c r="F15" s="140">
        <v>740</v>
      </c>
      <c r="K15" s="141">
        <v>740</v>
      </c>
      <c r="R15" s="141">
        <f t="shared" si="0"/>
        <v>740</v>
      </c>
      <c r="T15" t="str">
        <f t="shared" si="1"/>
        <v/>
      </c>
    </row>
    <row r="16" spans="1:20">
      <c r="A16" s="142">
        <v>43643</v>
      </c>
      <c r="B16" t="s">
        <v>684</v>
      </c>
      <c r="C16" t="s">
        <v>698</v>
      </c>
      <c r="E16" s="139" t="s">
        <v>353</v>
      </c>
      <c r="F16" s="140">
        <v>250</v>
      </c>
      <c r="K16" s="141">
        <v>250</v>
      </c>
      <c r="R16" s="141">
        <f t="shared" si="0"/>
        <v>250</v>
      </c>
      <c r="S16" s="141"/>
      <c r="T16" t="str">
        <f t="shared" si="1"/>
        <v/>
      </c>
    </row>
    <row r="17" spans="1:21">
      <c r="B17" t="s">
        <v>684</v>
      </c>
      <c r="C17" t="s">
        <v>699</v>
      </c>
      <c r="E17" s="139" t="s">
        <v>353</v>
      </c>
      <c r="F17" s="140">
        <v>75</v>
      </c>
      <c r="K17" s="141">
        <v>75</v>
      </c>
      <c r="R17" s="141">
        <f t="shared" si="0"/>
        <v>75</v>
      </c>
      <c r="T17" t="str">
        <f t="shared" si="1"/>
        <v/>
      </c>
    </row>
    <row r="18" spans="1:21">
      <c r="B18" t="s">
        <v>700</v>
      </c>
      <c r="C18" t="s">
        <v>701</v>
      </c>
      <c r="D18" t="s">
        <v>702</v>
      </c>
      <c r="E18" s="139" t="s">
        <v>353</v>
      </c>
      <c r="F18" s="140">
        <v>350</v>
      </c>
      <c r="K18" s="141">
        <v>350</v>
      </c>
      <c r="R18" s="141">
        <f t="shared" si="0"/>
        <v>350</v>
      </c>
      <c r="S18" s="141"/>
      <c r="T18" t="str">
        <f t="shared" si="1"/>
        <v/>
      </c>
    </row>
    <row r="19" spans="1:21">
      <c r="A19" s="142">
        <v>43651</v>
      </c>
      <c r="B19" t="s">
        <v>682</v>
      </c>
      <c r="C19" t="s">
        <v>703</v>
      </c>
      <c r="E19" s="139" t="s">
        <v>353</v>
      </c>
      <c r="F19" s="140">
        <v>10425</v>
      </c>
      <c r="P19" s="141">
        <v>10425</v>
      </c>
      <c r="R19" s="141">
        <f>SUM(G19:Q19)</f>
        <v>10425</v>
      </c>
      <c r="T19" t="str">
        <f>IF(SUM(G19:Q19)=F19,"",SUM(G19:Q19)-F19)</f>
        <v/>
      </c>
    </row>
    <row r="20" spans="1:21">
      <c r="A20" s="142">
        <v>43658</v>
      </c>
      <c r="B20" t="s">
        <v>704</v>
      </c>
      <c r="C20" t="s">
        <v>705</v>
      </c>
      <c r="D20" t="s">
        <v>706</v>
      </c>
      <c r="E20" s="139" t="s">
        <v>353</v>
      </c>
      <c r="F20" s="140">
        <v>740</v>
      </c>
      <c r="K20" s="141">
        <v>740</v>
      </c>
      <c r="R20" s="141">
        <f>SUM(G20:Q20)</f>
        <v>740</v>
      </c>
      <c r="T20" t="str">
        <f>IF(SUM(G20:Q20)=F20,"",SUM(G20:Q20)-F20)</f>
        <v/>
      </c>
    </row>
    <row r="21" spans="1:21">
      <c r="A21" s="142">
        <v>43665</v>
      </c>
      <c r="B21" t="s">
        <v>286</v>
      </c>
      <c r="C21" t="s">
        <v>707</v>
      </c>
      <c r="D21" t="s">
        <v>708</v>
      </c>
      <c r="E21" s="139" t="s">
        <v>353</v>
      </c>
      <c r="F21" s="140">
        <v>350</v>
      </c>
      <c r="K21" s="141">
        <v>350</v>
      </c>
      <c r="R21" s="141">
        <f t="shared" si="0"/>
        <v>350</v>
      </c>
      <c r="T21" t="str">
        <f t="shared" si="1"/>
        <v/>
      </c>
    </row>
    <row r="22" spans="1:21">
      <c r="A22" s="142">
        <v>43670</v>
      </c>
      <c r="B22" t="s">
        <v>684</v>
      </c>
      <c r="C22" t="s">
        <v>709</v>
      </c>
      <c r="E22" s="139" t="s">
        <v>353</v>
      </c>
      <c r="F22" s="140">
        <v>100</v>
      </c>
      <c r="K22" s="141">
        <v>100</v>
      </c>
      <c r="R22" s="141">
        <f t="shared" si="0"/>
        <v>100</v>
      </c>
      <c r="S22" s="141"/>
      <c r="T22" t="str">
        <f t="shared" si="1"/>
        <v/>
      </c>
    </row>
    <row r="23" spans="1:21">
      <c r="A23" s="142">
        <v>43696</v>
      </c>
      <c r="B23" t="s">
        <v>684</v>
      </c>
      <c r="C23" t="s">
        <v>710</v>
      </c>
      <c r="E23" s="139" t="s">
        <v>353</v>
      </c>
      <c r="F23" s="140">
        <v>100</v>
      </c>
      <c r="J23"/>
      <c r="K23" s="141">
        <v>100</v>
      </c>
      <c r="P23"/>
      <c r="R23" s="141">
        <f t="shared" si="0"/>
        <v>100</v>
      </c>
      <c r="T23" t="str">
        <f t="shared" si="1"/>
        <v/>
      </c>
    </row>
    <row r="24" spans="1:21">
      <c r="B24" t="s">
        <v>711</v>
      </c>
      <c r="C24" t="s">
        <v>712</v>
      </c>
      <c r="E24" s="139" t="s">
        <v>353</v>
      </c>
      <c r="F24" s="140">
        <v>125</v>
      </c>
      <c r="K24" s="141">
        <v>125</v>
      </c>
      <c r="R24" s="141">
        <f t="shared" si="0"/>
        <v>125</v>
      </c>
      <c r="T24" t="str">
        <f t="shared" si="1"/>
        <v/>
      </c>
    </row>
    <row r="25" spans="1:21">
      <c r="B25" t="s">
        <v>713</v>
      </c>
      <c r="C25" t="s">
        <v>714</v>
      </c>
      <c r="E25" s="139" t="s">
        <v>353</v>
      </c>
      <c r="F25" s="140">
        <v>125</v>
      </c>
      <c r="K25" s="141">
        <v>125</v>
      </c>
      <c r="R25" s="141">
        <f t="shared" si="0"/>
        <v>125</v>
      </c>
      <c r="S25" s="141"/>
      <c r="T25" s="141">
        <f>SUM(R23:R25)</f>
        <v>350</v>
      </c>
    </row>
    <row r="26" spans="1:21">
      <c r="A26" s="147">
        <v>43707</v>
      </c>
      <c r="B26" t="s">
        <v>715</v>
      </c>
      <c r="C26" t="s">
        <v>688</v>
      </c>
      <c r="D26" t="s">
        <v>716</v>
      </c>
      <c r="E26" s="139" t="s">
        <v>353</v>
      </c>
      <c r="F26" s="140">
        <v>1050</v>
      </c>
      <c r="K26" s="141">
        <v>1050</v>
      </c>
      <c r="R26" s="141">
        <f t="shared" si="0"/>
        <v>1050</v>
      </c>
    </row>
    <row r="27" spans="1:21">
      <c r="A27" s="142">
        <v>43727</v>
      </c>
      <c r="B27" t="s">
        <v>717</v>
      </c>
      <c r="C27" t="s">
        <v>718</v>
      </c>
      <c r="E27" s="139" t="s">
        <v>353</v>
      </c>
      <c r="F27" s="140">
        <v>1125</v>
      </c>
      <c r="O27" s="141">
        <v>1125</v>
      </c>
      <c r="R27" s="141">
        <f t="shared" si="0"/>
        <v>1125</v>
      </c>
    </row>
    <row r="28" spans="1:21">
      <c r="A28" s="142">
        <v>43735</v>
      </c>
      <c r="B28" t="s">
        <v>682</v>
      </c>
      <c r="C28" t="s">
        <v>683</v>
      </c>
      <c r="E28" s="139" t="s">
        <v>353</v>
      </c>
      <c r="F28" s="140">
        <v>49505.5</v>
      </c>
      <c r="H28" s="141">
        <v>49505.5</v>
      </c>
      <c r="R28" s="141">
        <f t="shared" si="0"/>
        <v>49505.5</v>
      </c>
    </row>
    <row r="29" spans="1:21">
      <c r="A29" s="142">
        <v>43742</v>
      </c>
      <c r="B29" t="s">
        <v>684</v>
      </c>
      <c r="C29" t="s">
        <v>719</v>
      </c>
      <c r="E29" s="139" t="s">
        <v>353</v>
      </c>
      <c r="F29" s="140">
        <v>75</v>
      </c>
      <c r="K29" s="141">
        <v>75</v>
      </c>
      <c r="R29" s="141">
        <f t="shared" si="0"/>
        <v>75</v>
      </c>
    </row>
    <row r="30" spans="1:21">
      <c r="B30" t="s">
        <v>720</v>
      </c>
      <c r="C30" t="s">
        <v>721</v>
      </c>
      <c r="E30" s="139" t="s">
        <v>353</v>
      </c>
      <c r="F30" s="140">
        <v>27.5</v>
      </c>
      <c r="J30" s="141">
        <v>27.5</v>
      </c>
      <c r="R30" s="141">
        <f t="shared" si="0"/>
        <v>27.5</v>
      </c>
      <c r="T30" s="148" t="s">
        <v>722</v>
      </c>
      <c r="U30" s="141">
        <f>SUM(R29:R30)</f>
        <v>102.5</v>
      </c>
    </row>
    <row r="31" spans="1:21">
      <c r="B31" t="s">
        <v>723</v>
      </c>
      <c r="C31" t="s">
        <v>724</v>
      </c>
      <c r="E31" s="139" t="s">
        <v>353</v>
      </c>
      <c r="F31" s="140">
        <v>13.75</v>
      </c>
      <c r="J31" s="141">
        <v>13.75</v>
      </c>
      <c r="R31" s="141">
        <f t="shared" si="0"/>
        <v>13.75</v>
      </c>
      <c r="T31" s="148" t="s">
        <v>725</v>
      </c>
      <c r="U31" s="149"/>
    </row>
    <row r="32" spans="1:21">
      <c r="B32" t="s">
        <v>726</v>
      </c>
      <c r="C32" t="s">
        <v>727</v>
      </c>
      <c r="E32" s="139" t="s">
        <v>353</v>
      </c>
      <c r="F32" s="140">
        <v>27.5</v>
      </c>
      <c r="J32" s="141">
        <v>27.5</v>
      </c>
      <c r="R32" s="141">
        <f t="shared" si="0"/>
        <v>27.5</v>
      </c>
      <c r="T32" s="148" t="s">
        <v>725</v>
      </c>
      <c r="U32" s="141">
        <f>R32+R31</f>
        <v>41.25</v>
      </c>
    </row>
    <row r="33" spans="1:21">
      <c r="A33" s="142">
        <v>43750</v>
      </c>
      <c r="B33" t="s">
        <v>728</v>
      </c>
      <c r="C33" t="s">
        <v>729</v>
      </c>
      <c r="D33" s="150">
        <v>19069</v>
      </c>
      <c r="E33" s="139" t="s">
        <v>353</v>
      </c>
      <c r="F33" s="140">
        <v>27.5</v>
      </c>
      <c r="J33" s="141">
        <v>27.5</v>
      </c>
      <c r="P33"/>
      <c r="R33" s="141">
        <f t="shared" si="0"/>
        <v>27.5</v>
      </c>
    </row>
    <row r="34" spans="1:21">
      <c r="A34" s="142">
        <v>43751</v>
      </c>
      <c r="B34" t="s">
        <v>730</v>
      </c>
      <c r="C34" t="s">
        <v>731</v>
      </c>
      <c r="D34" s="150">
        <v>19022</v>
      </c>
      <c r="E34" s="139" t="s">
        <v>353</v>
      </c>
      <c r="F34" s="140">
        <v>41.25</v>
      </c>
      <c r="J34" s="141">
        <v>41.25</v>
      </c>
      <c r="R34" s="141">
        <f t="shared" si="0"/>
        <v>41.25</v>
      </c>
      <c r="T34" s="148" t="s">
        <v>725</v>
      </c>
    </row>
    <row r="35" spans="1:21">
      <c r="B35" t="s">
        <v>732</v>
      </c>
      <c r="C35" t="s">
        <v>733</v>
      </c>
      <c r="E35" s="139" t="s">
        <v>353</v>
      </c>
      <c r="F35" s="140">
        <v>13.75</v>
      </c>
      <c r="J35" s="141">
        <v>13.75</v>
      </c>
      <c r="R35" s="141">
        <f t="shared" si="0"/>
        <v>13.75</v>
      </c>
      <c r="S35" s="141"/>
      <c r="T35" s="148" t="s">
        <v>725</v>
      </c>
    </row>
    <row r="36" spans="1:21">
      <c r="B36" t="s">
        <v>734</v>
      </c>
      <c r="C36" t="s">
        <v>735</v>
      </c>
      <c r="E36" s="139" t="s">
        <v>353</v>
      </c>
      <c r="F36" s="140">
        <v>27.5</v>
      </c>
      <c r="J36" s="141">
        <v>27.5</v>
      </c>
      <c r="R36" s="141">
        <f t="shared" si="0"/>
        <v>27.5</v>
      </c>
      <c r="S36" s="141"/>
      <c r="T36" s="148" t="s">
        <v>725</v>
      </c>
      <c r="U36" s="141">
        <f>SUM(R34:R36)</f>
        <v>82.5</v>
      </c>
    </row>
    <row r="37" spans="1:21">
      <c r="A37" s="142">
        <v>43753</v>
      </c>
      <c r="B37" t="s">
        <v>736</v>
      </c>
      <c r="C37" t="s">
        <v>737</v>
      </c>
      <c r="D37" s="150">
        <v>19036</v>
      </c>
      <c r="E37" s="139" t="s">
        <v>353</v>
      </c>
      <c r="F37" s="140">
        <v>55</v>
      </c>
      <c r="J37" s="141">
        <v>55</v>
      </c>
      <c r="R37" s="141">
        <f t="shared" si="0"/>
        <v>55</v>
      </c>
      <c r="S37" s="141"/>
    </row>
    <row r="38" spans="1:21">
      <c r="B38" t="s">
        <v>738</v>
      </c>
      <c r="C38" t="s">
        <v>739</v>
      </c>
      <c r="D38" s="150">
        <v>19011</v>
      </c>
      <c r="E38" s="139" t="s">
        <v>353</v>
      </c>
      <c r="F38" s="140">
        <v>27.5</v>
      </c>
      <c r="J38" s="141">
        <v>27.5</v>
      </c>
      <c r="R38" s="141">
        <f t="shared" si="0"/>
        <v>27.5</v>
      </c>
      <c r="S38" s="141"/>
    </row>
    <row r="39" spans="1:21">
      <c r="B39" t="s">
        <v>740</v>
      </c>
      <c r="C39" t="s">
        <v>741</v>
      </c>
      <c r="D39" s="150">
        <v>19051</v>
      </c>
      <c r="E39" s="139" t="s">
        <v>353</v>
      </c>
      <c r="F39" s="140">
        <v>55</v>
      </c>
      <c r="J39" s="141">
        <v>55</v>
      </c>
      <c r="R39" s="141">
        <f t="shared" si="0"/>
        <v>55</v>
      </c>
      <c r="S39" s="141"/>
    </row>
    <row r="40" spans="1:21">
      <c r="B40" t="s">
        <v>742</v>
      </c>
      <c r="C40" t="s">
        <v>743</v>
      </c>
      <c r="D40" s="150">
        <v>19037</v>
      </c>
      <c r="E40" s="139" t="s">
        <v>353</v>
      </c>
      <c r="F40" s="140">
        <v>55</v>
      </c>
      <c r="J40" s="141">
        <v>55</v>
      </c>
      <c r="R40" s="141">
        <f t="shared" si="0"/>
        <v>55</v>
      </c>
      <c r="S40" s="141"/>
    </row>
    <row r="41" spans="1:21">
      <c r="B41" t="s">
        <v>744</v>
      </c>
      <c r="C41" t="s">
        <v>745</v>
      </c>
      <c r="D41" s="150">
        <v>19032</v>
      </c>
      <c r="E41" s="139" t="s">
        <v>353</v>
      </c>
      <c r="F41" s="140">
        <v>41.25</v>
      </c>
      <c r="J41" s="141">
        <v>41.25</v>
      </c>
      <c r="R41" s="141">
        <f t="shared" si="0"/>
        <v>41.25</v>
      </c>
    </row>
    <row r="42" spans="1:21">
      <c r="B42" t="s">
        <v>746</v>
      </c>
      <c r="C42" t="s">
        <v>747</v>
      </c>
      <c r="D42" s="150">
        <v>19016</v>
      </c>
      <c r="E42" s="139" t="s">
        <v>353</v>
      </c>
      <c r="F42" s="140">
        <v>13.75</v>
      </c>
      <c r="J42" s="141">
        <v>13.75</v>
      </c>
      <c r="R42" s="141">
        <f t="shared" si="0"/>
        <v>13.75</v>
      </c>
    </row>
    <row r="43" spans="1:21">
      <c r="B43" t="s">
        <v>748</v>
      </c>
      <c r="C43" t="s">
        <v>749</v>
      </c>
      <c r="D43" s="150">
        <v>19064</v>
      </c>
      <c r="E43" s="139" t="s">
        <v>353</v>
      </c>
      <c r="F43" s="140">
        <v>27.5</v>
      </c>
      <c r="J43" s="141">
        <f>F43</f>
        <v>27.5</v>
      </c>
      <c r="R43" s="141">
        <f t="shared" si="0"/>
        <v>27.5</v>
      </c>
    </row>
    <row r="44" spans="1:21">
      <c r="B44" t="s">
        <v>750</v>
      </c>
      <c r="C44" t="s">
        <v>751</v>
      </c>
      <c r="D44" s="150">
        <v>19054</v>
      </c>
      <c r="E44" s="139" t="s">
        <v>353</v>
      </c>
      <c r="F44" s="140">
        <v>27.5</v>
      </c>
      <c r="J44" s="141">
        <f t="shared" ref="J44:J98" si="2">F44</f>
        <v>27.5</v>
      </c>
      <c r="R44" s="141">
        <f t="shared" si="0"/>
        <v>27.5</v>
      </c>
    </row>
    <row r="45" spans="1:21">
      <c r="B45" t="s">
        <v>752</v>
      </c>
      <c r="C45" t="s">
        <v>753</v>
      </c>
      <c r="D45" s="150">
        <v>19062</v>
      </c>
      <c r="E45" s="139" t="s">
        <v>353</v>
      </c>
      <c r="F45" s="140">
        <v>41.25</v>
      </c>
      <c r="J45" s="141">
        <f t="shared" si="2"/>
        <v>41.25</v>
      </c>
      <c r="R45" s="141">
        <f t="shared" si="0"/>
        <v>41.25</v>
      </c>
    </row>
    <row r="46" spans="1:21">
      <c r="B46" t="s">
        <v>754</v>
      </c>
      <c r="C46" t="s">
        <v>755</v>
      </c>
      <c r="D46" s="150">
        <v>19052</v>
      </c>
      <c r="E46" s="139" t="s">
        <v>353</v>
      </c>
      <c r="F46" s="140">
        <v>27.5</v>
      </c>
      <c r="J46" s="141">
        <f t="shared" si="2"/>
        <v>27.5</v>
      </c>
      <c r="R46" s="141">
        <f>SUM(G46:Q46)</f>
        <v>27.5</v>
      </c>
    </row>
    <row r="47" spans="1:21">
      <c r="A47" s="142">
        <v>43754</v>
      </c>
      <c r="B47" t="s">
        <v>756</v>
      </c>
      <c r="C47" t="s">
        <v>757</v>
      </c>
      <c r="D47" s="150">
        <v>19059</v>
      </c>
      <c r="E47" s="139" t="s">
        <v>353</v>
      </c>
      <c r="F47" s="140">
        <v>55</v>
      </c>
      <c r="J47" s="141">
        <f t="shared" si="2"/>
        <v>55</v>
      </c>
      <c r="R47" s="141">
        <f t="shared" si="0"/>
        <v>55</v>
      </c>
    </row>
    <row r="48" spans="1:21">
      <c r="B48" t="s">
        <v>758</v>
      </c>
      <c r="C48" t="s">
        <v>759</v>
      </c>
      <c r="D48" s="150">
        <v>19038</v>
      </c>
      <c r="E48" s="139" t="s">
        <v>353</v>
      </c>
      <c r="F48" s="140">
        <v>27.5</v>
      </c>
      <c r="J48" s="141">
        <f t="shared" si="2"/>
        <v>27.5</v>
      </c>
      <c r="R48" s="141">
        <f t="shared" si="0"/>
        <v>27.5</v>
      </c>
    </row>
    <row r="49" spans="1:21">
      <c r="B49" t="s">
        <v>760</v>
      </c>
      <c r="C49" t="s">
        <v>761</v>
      </c>
      <c r="D49" s="150">
        <v>19073</v>
      </c>
      <c r="E49" s="139" t="s">
        <v>353</v>
      </c>
      <c r="F49" s="140">
        <v>55</v>
      </c>
      <c r="J49" s="141">
        <f t="shared" si="2"/>
        <v>55</v>
      </c>
      <c r="R49" s="141">
        <f t="shared" si="0"/>
        <v>55</v>
      </c>
    </row>
    <row r="50" spans="1:21">
      <c r="B50" t="s">
        <v>762</v>
      </c>
      <c r="C50" t="s">
        <v>763</v>
      </c>
      <c r="D50" s="150">
        <v>19023</v>
      </c>
      <c r="E50" s="139" t="s">
        <v>353</v>
      </c>
      <c r="F50" s="140">
        <v>13.75</v>
      </c>
      <c r="J50" s="141">
        <f t="shared" si="2"/>
        <v>13.75</v>
      </c>
      <c r="R50" s="141">
        <f t="shared" si="0"/>
        <v>13.75</v>
      </c>
    </row>
    <row r="51" spans="1:21">
      <c r="B51" t="s">
        <v>764</v>
      </c>
      <c r="C51" t="s">
        <v>765</v>
      </c>
      <c r="D51" s="150">
        <v>19078</v>
      </c>
      <c r="E51" s="139" t="s">
        <v>353</v>
      </c>
      <c r="F51" s="140">
        <v>27.5</v>
      </c>
      <c r="J51" s="141">
        <f t="shared" si="2"/>
        <v>27.5</v>
      </c>
      <c r="R51" s="141">
        <f t="shared" si="0"/>
        <v>27.5</v>
      </c>
      <c r="U51" s="149"/>
    </row>
    <row r="52" spans="1:21">
      <c r="B52" t="s">
        <v>766</v>
      </c>
      <c r="C52" t="s">
        <v>767</v>
      </c>
      <c r="D52" s="150">
        <v>19034</v>
      </c>
      <c r="E52" s="139" t="s">
        <v>353</v>
      </c>
      <c r="F52" s="140">
        <v>27.5</v>
      </c>
      <c r="J52" s="141">
        <f t="shared" si="2"/>
        <v>27.5</v>
      </c>
      <c r="R52" s="141">
        <f t="shared" si="0"/>
        <v>27.5</v>
      </c>
    </row>
    <row r="53" spans="1:21">
      <c r="B53" t="s">
        <v>768</v>
      </c>
      <c r="C53" t="s">
        <v>769</v>
      </c>
      <c r="D53" s="150">
        <v>19053</v>
      </c>
      <c r="E53" s="139" t="s">
        <v>353</v>
      </c>
      <c r="F53" s="140">
        <v>27.5</v>
      </c>
      <c r="J53" s="141">
        <f t="shared" si="2"/>
        <v>27.5</v>
      </c>
      <c r="R53" s="141">
        <f t="shared" si="0"/>
        <v>27.5</v>
      </c>
    </row>
    <row r="54" spans="1:21">
      <c r="B54" t="s">
        <v>770</v>
      </c>
      <c r="C54" t="s">
        <v>771</v>
      </c>
      <c r="D54" s="150">
        <v>19018</v>
      </c>
      <c r="E54" s="139" t="s">
        <v>353</v>
      </c>
      <c r="F54" s="140">
        <v>55</v>
      </c>
      <c r="J54" s="141">
        <f t="shared" si="2"/>
        <v>55</v>
      </c>
      <c r="R54" s="141">
        <f t="shared" si="0"/>
        <v>55</v>
      </c>
    </row>
    <row r="55" spans="1:21">
      <c r="B55" t="s">
        <v>772</v>
      </c>
      <c r="C55" t="s">
        <v>773</v>
      </c>
      <c r="D55" s="150">
        <v>19001</v>
      </c>
      <c r="E55" s="139" t="s">
        <v>353</v>
      </c>
      <c r="F55" s="140">
        <v>41.25</v>
      </c>
      <c r="J55" s="141">
        <f t="shared" si="2"/>
        <v>41.25</v>
      </c>
      <c r="R55" s="141">
        <f t="shared" si="0"/>
        <v>41.25</v>
      </c>
    </row>
    <row r="56" spans="1:21">
      <c r="A56" s="142">
        <v>43755</v>
      </c>
      <c r="B56" t="s">
        <v>774</v>
      </c>
      <c r="C56" t="s">
        <v>775</v>
      </c>
      <c r="D56" s="150">
        <v>19048</v>
      </c>
      <c r="E56" s="139" t="s">
        <v>353</v>
      </c>
      <c r="F56" s="140">
        <v>13.75</v>
      </c>
      <c r="J56" s="141">
        <f t="shared" si="2"/>
        <v>13.75</v>
      </c>
      <c r="R56" s="141">
        <f t="shared" si="0"/>
        <v>13.75</v>
      </c>
    </row>
    <row r="57" spans="1:21">
      <c r="B57" t="s">
        <v>776</v>
      </c>
      <c r="C57" t="s">
        <v>777</v>
      </c>
      <c r="D57" s="150">
        <v>19058</v>
      </c>
      <c r="E57" s="139" t="s">
        <v>353</v>
      </c>
      <c r="F57" s="140">
        <v>27.5</v>
      </c>
      <c r="J57" s="141">
        <f t="shared" si="2"/>
        <v>27.5</v>
      </c>
      <c r="R57" s="141">
        <f t="shared" si="0"/>
        <v>27.5</v>
      </c>
    </row>
    <row r="58" spans="1:21">
      <c r="B58" t="s">
        <v>778</v>
      </c>
      <c r="C58" t="s">
        <v>779</v>
      </c>
      <c r="D58" s="150">
        <v>19061</v>
      </c>
      <c r="E58" s="139" t="s">
        <v>353</v>
      </c>
      <c r="F58" s="140">
        <v>27.5</v>
      </c>
      <c r="J58" s="141">
        <f t="shared" si="2"/>
        <v>27.5</v>
      </c>
      <c r="P58"/>
      <c r="R58" s="141">
        <f t="shared" si="0"/>
        <v>27.5</v>
      </c>
    </row>
    <row r="59" spans="1:21">
      <c r="A59" s="142">
        <v>43756</v>
      </c>
      <c r="B59" t="s">
        <v>682</v>
      </c>
      <c r="C59" t="s">
        <v>703</v>
      </c>
      <c r="E59" s="139" t="s">
        <v>353</v>
      </c>
      <c r="F59" s="140">
        <v>10425</v>
      </c>
      <c r="H59"/>
      <c r="J59"/>
      <c r="P59" s="141">
        <f>F59</f>
        <v>10425</v>
      </c>
      <c r="R59" s="141">
        <f t="shared" si="0"/>
        <v>10425</v>
      </c>
    </row>
    <row r="60" spans="1:21">
      <c r="B60" t="s">
        <v>780</v>
      </c>
      <c r="C60" t="s">
        <v>781</v>
      </c>
      <c r="D60" s="150">
        <v>19008</v>
      </c>
      <c r="E60" s="139" t="s">
        <v>353</v>
      </c>
      <c r="F60" s="140">
        <v>41.25</v>
      </c>
      <c r="J60" s="141">
        <f t="shared" si="2"/>
        <v>41.25</v>
      </c>
      <c r="R60" s="141">
        <f t="shared" si="0"/>
        <v>41.25</v>
      </c>
    </row>
    <row r="61" spans="1:21">
      <c r="B61" t="s">
        <v>782</v>
      </c>
      <c r="C61" t="s">
        <v>783</v>
      </c>
      <c r="D61" s="150">
        <v>19071</v>
      </c>
      <c r="E61" s="139" t="s">
        <v>353</v>
      </c>
      <c r="F61" s="140">
        <v>27.5</v>
      </c>
      <c r="J61" s="141">
        <f t="shared" si="2"/>
        <v>27.5</v>
      </c>
      <c r="R61" s="141">
        <f t="shared" si="0"/>
        <v>27.5</v>
      </c>
    </row>
    <row r="62" spans="1:21">
      <c r="A62" s="142">
        <v>43758</v>
      </c>
      <c r="B62" t="s">
        <v>784</v>
      </c>
      <c r="C62" t="s">
        <v>785</v>
      </c>
      <c r="D62" s="150">
        <v>19077</v>
      </c>
      <c r="E62" s="139" t="s">
        <v>353</v>
      </c>
      <c r="F62" s="140">
        <v>27.5</v>
      </c>
      <c r="J62" s="141">
        <f t="shared" si="2"/>
        <v>27.5</v>
      </c>
      <c r="R62" s="141">
        <f t="shared" si="0"/>
        <v>27.5</v>
      </c>
    </row>
    <row r="63" spans="1:21">
      <c r="B63" t="s">
        <v>786</v>
      </c>
      <c r="C63" t="s">
        <v>787</v>
      </c>
      <c r="D63" s="150">
        <v>19009</v>
      </c>
      <c r="E63" s="139" t="s">
        <v>353</v>
      </c>
      <c r="F63" s="140">
        <v>41.25</v>
      </c>
      <c r="J63" s="141">
        <f t="shared" si="2"/>
        <v>41.25</v>
      </c>
      <c r="R63" s="141">
        <f>SUM(G63:Q63)</f>
        <v>41.25</v>
      </c>
    </row>
    <row r="64" spans="1:21">
      <c r="B64" t="s">
        <v>788</v>
      </c>
      <c r="C64" t="s">
        <v>789</v>
      </c>
      <c r="D64" s="150">
        <v>19079</v>
      </c>
      <c r="E64" s="139" t="s">
        <v>353</v>
      </c>
      <c r="F64" s="140">
        <v>27.5</v>
      </c>
      <c r="J64" s="141">
        <f t="shared" si="2"/>
        <v>27.5</v>
      </c>
      <c r="R64" s="141">
        <f t="shared" si="0"/>
        <v>27.5</v>
      </c>
    </row>
    <row r="65" spans="1:23">
      <c r="A65" s="142">
        <v>43759</v>
      </c>
      <c r="B65" t="s">
        <v>689</v>
      </c>
      <c r="C65" t="s">
        <v>790</v>
      </c>
      <c r="D65" s="150">
        <v>19012</v>
      </c>
      <c r="E65" s="139" t="s">
        <v>353</v>
      </c>
      <c r="F65" s="140">
        <v>41.25</v>
      </c>
      <c r="J65" s="141">
        <f t="shared" si="2"/>
        <v>41.25</v>
      </c>
      <c r="R65" s="141">
        <f t="shared" si="0"/>
        <v>41.25</v>
      </c>
      <c r="S65" s="141"/>
      <c r="U65" s="149"/>
    </row>
    <row r="66" spans="1:23">
      <c r="B66" t="s">
        <v>791</v>
      </c>
      <c r="C66" t="s">
        <v>792</v>
      </c>
      <c r="D66" s="150">
        <v>19057</v>
      </c>
      <c r="E66" s="139" t="s">
        <v>353</v>
      </c>
      <c r="F66" s="140">
        <v>27.5</v>
      </c>
      <c r="J66" s="141">
        <f t="shared" si="2"/>
        <v>27.5</v>
      </c>
      <c r="R66" s="141">
        <f t="shared" si="0"/>
        <v>27.5</v>
      </c>
      <c r="S66" s="141"/>
    </row>
    <row r="67" spans="1:23">
      <c r="B67" t="s">
        <v>793</v>
      </c>
      <c r="C67" t="s">
        <v>687</v>
      </c>
      <c r="D67" s="150">
        <v>19005</v>
      </c>
      <c r="E67" s="139" t="s">
        <v>353</v>
      </c>
      <c r="F67" s="140">
        <v>27.5</v>
      </c>
      <c r="J67" s="141">
        <f t="shared" si="2"/>
        <v>27.5</v>
      </c>
      <c r="R67" s="141">
        <f t="shared" si="0"/>
        <v>27.5</v>
      </c>
      <c r="S67" s="141"/>
      <c r="U67" s="149"/>
    </row>
    <row r="68" spans="1:23">
      <c r="A68" s="142">
        <v>43760</v>
      </c>
      <c r="B68" t="s">
        <v>794</v>
      </c>
      <c r="C68" t="s">
        <v>795</v>
      </c>
      <c r="D68" s="150">
        <v>19043</v>
      </c>
      <c r="E68" s="139" t="s">
        <v>353</v>
      </c>
      <c r="F68" s="140">
        <v>27.5</v>
      </c>
      <c r="J68" s="141">
        <f t="shared" si="2"/>
        <v>27.5</v>
      </c>
      <c r="R68" s="141">
        <f t="shared" si="0"/>
        <v>27.5</v>
      </c>
      <c r="S68" s="141"/>
    </row>
    <row r="69" spans="1:23">
      <c r="B69" t="s">
        <v>796</v>
      </c>
      <c r="C69" t="s">
        <v>797</v>
      </c>
      <c r="D69" s="150">
        <v>19072</v>
      </c>
      <c r="E69" s="139" t="s">
        <v>353</v>
      </c>
      <c r="F69" s="140">
        <v>27.5</v>
      </c>
      <c r="J69" s="141">
        <f t="shared" si="2"/>
        <v>27.5</v>
      </c>
      <c r="R69" s="141">
        <f t="shared" ref="R69:R98" si="3">SUM(G69:Q69)</f>
        <v>27.5</v>
      </c>
      <c r="S69" s="141"/>
    </row>
    <row r="70" spans="1:23">
      <c r="B70" t="s">
        <v>798</v>
      </c>
      <c r="C70" t="s">
        <v>799</v>
      </c>
      <c r="D70" s="150">
        <v>19015</v>
      </c>
      <c r="E70" s="139" t="s">
        <v>353</v>
      </c>
      <c r="F70" s="140">
        <v>27.5</v>
      </c>
      <c r="J70" s="141">
        <f t="shared" si="2"/>
        <v>27.5</v>
      </c>
      <c r="R70" s="141">
        <f t="shared" si="3"/>
        <v>27.5</v>
      </c>
      <c r="S70" s="141"/>
    </row>
    <row r="71" spans="1:23">
      <c r="B71" t="s">
        <v>800</v>
      </c>
      <c r="C71" t="s">
        <v>801</v>
      </c>
      <c r="D71" s="150">
        <v>19035</v>
      </c>
      <c r="E71" s="139" t="s">
        <v>353</v>
      </c>
      <c r="F71" s="140">
        <v>27.5</v>
      </c>
      <c r="J71" s="141">
        <f t="shared" si="2"/>
        <v>27.5</v>
      </c>
      <c r="R71" s="141">
        <f t="shared" si="3"/>
        <v>27.5</v>
      </c>
      <c r="S71" s="141"/>
    </row>
    <row r="72" spans="1:23">
      <c r="A72" s="142">
        <v>43761</v>
      </c>
      <c r="B72" t="s">
        <v>802</v>
      </c>
      <c r="C72" t="s">
        <v>803</v>
      </c>
      <c r="D72" s="150">
        <v>19002</v>
      </c>
      <c r="E72" s="139" t="s">
        <v>353</v>
      </c>
      <c r="F72" s="140">
        <v>27.5</v>
      </c>
      <c r="J72" s="141">
        <f t="shared" si="2"/>
        <v>27.5</v>
      </c>
      <c r="R72" s="141">
        <f t="shared" si="3"/>
        <v>27.5</v>
      </c>
      <c r="S72" s="141"/>
      <c r="T72" t="s">
        <v>722</v>
      </c>
    </row>
    <row r="73" spans="1:23">
      <c r="B73" t="s">
        <v>804</v>
      </c>
      <c r="C73" t="s">
        <v>805</v>
      </c>
      <c r="D73" s="150">
        <v>19044</v>
      </c>
      <c r="E73" s="139" t="s">
        <v>353</v>
      </c>
      <c r="F73" s="140">
        <v>27.5</v>
      </c>
      <c r="J73" s="141">
        <f t="shared" si="2"/>
        <v>27.5</v>
      </c>
      <c r="R73" s="141">
        <f t="shared" si="3"/>
        <v>27.5</v>
      </c>
      <c r="S73" s="141"/>
      <c r="T73" t="s">
        <v>722</v>
      </c>
    </row>
    <row r="74" spans="1:23">
      <c r="B74" t="s">
        <v>806</v>
      </c>
      <c r="C74" t="s">
        <v>807</v>
      </c>
      <c r="D74" s="150">
        <v>19024</v>
      </c>
      <c r="E74" s="139" t="s">
        <v>353</v>
      </c>
      <c r="F74" s="140">
        <v>27.5</v>
      </c>
      <c r="J74" s="141">
        <f t="shared" si="2"/>
        <v>27.5</v>
      </c>
      <c r="P74"/>
      <c r="R74" s="141">
        <f t="shared" si="3"/>
        <v>27.5</v>
      </c>
      <c r="S74" s="141"/>
      <c r="T74" t="s">
        <v>722</v>
      </c>
    </row>
    <row r="75" spans="1:23">
      <c r="B75" t="s">
        <v>808</v>
      </c>
      <c r="C75" t="s">
        <v>809</v>
      </c>
      <c r="D75" s="150">
        <v>19027</v>
      </c>
      <c r="E75" s="139" t="s">
        <v>353</v>
      </c>
      <c r="F75" s="140">
        <v>55</v>
      </c>
      <c r="J75" s="141">
        <f t="shared" si="2"/>
        <v>55</v>
      </c>
      <c r="R75" s="141">
        <f t="shared" si="3"/>
        <v>55</v>
      </c>
      <c r="S75" s="141"/>
      <c r="T75" t="s">
        <v>722</v>
      </c>
    </row>
    <row r="76" spans="1:23">
      <c r="B76" t="s">
        <v>810</v>
      </c>
      <c r="C76" t="s">
        <v>811</v>
      </c>
      <c r="D76" s="150">
        <v>19049</v>
      </c>
      <c r="E76" s="139" t="s">
        <v>353</v>
      </c>
      <c r="F76" s="140">
        <v>27.5</v>
      </c>
      <c r="J76" s="141">
        <f t="shared" si="2"/>
        <v>27.5</v>
      </c>
      <c r="R76" s="141">
        <f t="shared" si="3"/>
        <v>27.5</v>
      </c>
      <c r="S76" s="141"/>
      <c r="T76" t="s">
        <v>722</v>
      </c>
      <c r="U76" s="141">
        <f>SUM(R72:R76)</f>
        <v>165</v>
      </c>
    </row>
    <row r="77" spans="1:23">
      <c r="B77" t="s">
        <v>812</v>
      </c>
      <c r="C77" t="s">
        <v>813</v>
      </c>
      <c r="D77" s="150">
        <v>19007</v>
      </c>
      <c r="E77" s="139" t="s">
        <v>353</v>
      </c>
      <c r="F77" s="140">
        <v>55</v>
      </c>
      <c r="J77" s="141">
        <f t="shared" si="2"/>
        <v>55</v>
      </c>
      <c r="R77" s="141">
        <f t="shared" si="3"/>
        <v>55</v>
      </c>
      <c r="S77" s="141"/>
      <c r="U77" s="149"/>
    </row>
    <row r="78" spans="1:23">
      <c r="A78" s="142">
        <v>43762</v>
      </c>
      <c r="B78" t="s">
        <v>814</v>
      </c>
      <c r="C78" t="s">
        <v>815</v>
      </c>
      <c r="D78" s="150">
        <v>19080</v>
      </c>
      <c r="E78" s="139" t="s">
        <v>353</v>
      </c>
      <c r="F78" s="140">
        <v>13.75</v>
      </c>
      <c r="J78" s="141">
        <f t="shared" si="2"/>
        <v>13.75</v>
      </c>
      <c r="R78" s="141">
        <f t="shared" si="3"/>
        <v>13.75</v>
      </c>
      <c r="S78" s="141"/>
    </row>
    <row r="79" spans="1:23">
      <c r="B79" s="151" t="s">
        <v>816</v>
      </c>
      <c r="C79" t="s">
        <v>817</v>
      </c>
      <c r="D79" s="150">
        <v>19060</v>
      </c>
      <c r="E79" s="139" t="s">
        <v>353</v>
      </c>
      <c r="F79" s="140">
        <v>55</v>
      </c>
      <c r="J79" s="141">
        <f t="shared" si="2"/>
        <v>55</v>
      </c>
      <c r="R79" s="141">
        <f t="shared" si="3"/>
        <v>55</v>
      </c>
      <c r="S79" s="141"/>
    </row>
    <row r="80" spans="1:23">
      <c r="A80" s="142">
        <v>43763</v>
      </c>
      <c r="B80" t="s">
        <v>818</v>
      </c>
      <c r="C80" t="s">
        <v>819</v>
      </c>
      <c r="D80" s="150">
        <v>19019</v>
      </c>
      <c r="E80" s="139" t="s">
        <v>353</v>
      </c>
      <c r="F80" s="140">
        <v>41.25</v>
      </c>
      <c r="J80" s="141">
        <f t="shared" si="2"/>
        <v>41.25</v>
      </c>
      <c r="R80" s="141">
        <f t="shared" si="3"/>
        <v>41.25</v>
      </c>
      <c r="S80" s="141"/>
      <c r="W80" s="141"/>
    </row>
    <row r="81" spans="1:21">
      <c r="B81" t="s">
        <v>820</v>
      </c>
      <c r="C81" t="s">
        <v>821</v>
      </c>
      <c r="D81" s="150">
        <v>19033</v>
      </c>
      <c r="E81" s="139" t="s">
        <v>353</v>
      </c>
      <c r="F81" s="140">
        <v>27.5</v>
      </c>
      <c r="J81" s="141">
        <f t="shared" si="2"/>
        <v>27.5</v>
      </c>
      <c r="R81" s="141">
        <f t="shared" si="3"/>
        <v>27.5</v>
      </c>
      <c r="S81" s="141"/>
    </row>
    <row r="82" spans="1:21">
      <c r="B82" t="s">
        <v>822</v>
      </c>
      <c r="C82" t="s">
        <v>823</v>
      </c>
      <c r="D82" s="150">
        <v>19017</v>
      </c>
      <c r="E82" s="139" t="s">
        <v>353</v>
      </c>
      <c r="F82" s="140">
        <v>27.5</v>
      </c>
      <c r="J82" s="141">
        <f t="shared" si="2"/>
        <v>27.5</v>
      </c>
      <c r="R82" s="141">
        <f t="shared" si="3"/>
        <v>27.5</v>
      </c>
      <c r="S82" s="141"/>
    </row>
    <row r="83" spans="1:21">
      <c r="A83" s="142">
        <v>43764</v>
      </c>
      <c r="B83" t="s">
        <v>824</v>
      </c>
      <c r="C83" t="s">
        <v>825</v>
      </c>
      <c r="D83" s="150">
        <v>19026</v>
      </c>
      <c r="E83" s="139" t="s">
        <v>353</v>
      </c>
      <c r="F83" s="140">
        <v>55</v>
      </c>
      <c r="J83" s="141">
        <f t="shared" si="2"/>
        <v>55</v>
      </c>
      <c r="R83" s="141">
        <f t="shared" si="3"/>
        <v>55</v>
      </c>
      <c r="S83" s="141"/>
      <c r="U83" s="149"/>
    </row>
    <row r="84" spans="1:21">
      <c r="A84" s="142">
        <v>43766</v>
      </c>
      <c r="B84" t="s">
        <v>826</v>
      </c>
      <c r="C84" t="s">
        <v>827</v>
      </c>
      <c r="D84" s="150">
        <v>19067</v>
      </c>
      <c r="E84" s="139" t="s">
        <v>353</v>
      </c>
      <c r="F84" s="140">
        <v>55</v>
      </c>
      <c r="J84" s="141">
        <f t="shared" si="2"/>
        <v>55</v>
      </c>
      <c r="R84" s="141">
        <f t="shared" si="3"/>
        <v>55</v>
      </c>
      <c r="S84" s="141"/>
    </row>
    <row r="85" spans="1:21">
      <c r="B85" t="s">
        <v>828</v>
      </c>
      <c r="C85" t="s">
        <v>829</v>
      </c>
      <c r="D85" s="150">
        <v>19014</v>
      </c>
      <c r="E85" s="139" t="s">
        <v>353</v>
      </c>
      <c r="F85" s="140">
        <v>55</v>
      </c>
      <c r="J85" s="141">
        <f t="shared" si="2"/>
        <v>55</v>
      </c>
      <c r="R85" s="141">
        <f t="shared" si="3"/>
        <v>55</v>
      </c>
      <c r="S85" s="141"/>
    </row>
    <row r="86" spans="1:21">
      <c r="B86" t="s">
        <v>830</v>
      </c>
      <c r="C86" t="s">
        <v>831</v>
      </c>
      <c r="D86" s="150">
        <v>19013</v>
      </c>
      <c r="E86" s="139" t="s">
        <v>353</v>
      </c>
      <c r="F86" s="140">
        <v>27.5</v>
      </c>
      <c r="J86" s="141">
        <f t="shared" si="2"/>
        <v>27.5</v>
      </c>
      <c r="R86" s="141">
        <f t="shared" si="3"/>
        <v>27.5</v>
      </c>
      <c r="S86" s="141"/>
    </row>
    <row r="87" spans="1:21">
      <c r="A87" s="142">
        <v>43767</v>
      </c>
      <c r="B87" t="s">
        <v>832</v>
      </c>
      <c r="C87" t="s">
        <v>833</v>
      </c>
      <c r="D87" s="150">
        <v>19025</v>
      </c>
      <c r="E87" s="139" t="s">
        <v>353</v>
      </c>
      <c r="F87" s="140">
        <v>55</v>
      </c>
      <c r="J87" s="141">
        <f t="shared" si="2"/>
        <v>55</v>
      </c>
      <c r="R87" s="141">
        <f t="shared" si="3"/>
        <v>55</v>
      </c>
      <c r="S87" s="141"/>
    </row>
    <row r="88" spans="1:21">
      <c r="A88" s="142">
        <v>43768</v>
      </c>
      <c r="B88" t="s">
        <v>834</v>
      </c>
      <c r="C88" s="145" t="s">
        <v>835</v>
      </c>
      <c r="D88" s="150">
        <v>19041</v>
      </c>
      <c r="E88" s="139" t="s">
        <v>353</v>
      </c>
      <c r="F88" s="140">
        <v>13.75</v>
      </c>
      <c r="J88" s="141">
        <f t="shared" si="2"/>
        <v>13.75</v>
      </c>
      <c r="R88" s="141">
        <f>SUM(G88:Q88)</f>
        <v>13.75</v>
      </c>
      <c r="S88" s="141"/>
    </row>
    <row r="89" spans="1:21">
      <c r="A89" s="142">
        <v>43769</v>
      </c>
      <c r="B89" t="s">
        <v>836</v>
      </c>
      <c r="C89" t="s">
        <v>837</v>
      </c>
      <c r="D89" s="150">
        <v>19004</v>
      </c>
      <c r="E89" s="139" t="s">
        <v>353</v>
      </c>
      <c r="F89" s="140">
        <v>27.5</v>
      </c>
      <c r="J89" s="141">
        <f t="shared" si="2"/>
        <v>27.5</v>
      </c>
      <c r="R89" s="141">
        <f t="shared" si="3"/>
        <v>27.5</v>
      </c>
      <c r="S89" s="141"/>
      <c r="T89" t="s">
        <v>722</v>
      </c>
    </row>
    <row r="90" spans="1:21">
      <c r="B90" t="s">
        <v>838</v>
      </c>
      <c r="C90" t="s">
        <v>839</v>
      </c>
      <c r="D90" s="150">
        <v>19074</v>
      </c>
      <c r="E90" s="139" t="s">
        <v>353</v>
      </c>
      <c r="F90" s="140">
        <v>27.5</v>
      </c>
      <c r="J90" s="141">
        <f t="shared" si="2"/>
        <v>27.5</v>
      </c>
      <c r="R90" s="141">
        <f t="shared" si="3"/>
        <v>27.5</v>
      </c>
      <c r="S90" s="141"/>
      <c r="T90" t="s">
        <v>722</v>
      </c>
    </row>
    <row r="91" spans="1:21">
      <c r="B91" t="s">
        <v>114</v>
      </c>
      <c r="C91" t="s">
        <v>840</v>
      </c>
      <c r="D91" s="150">
        <v>19055</v>
      </c>
      <c r="E91" s="139" t="s">
        <v>353</v>
      </c>
      <c r="F91" s="140">
        <v>55</v>
      </c>
      <c r="J91" s="141">
        <f t="shared" si="2"/>
        <v>55</v>
      </c>
      <c r="R91" s="141">
        <f t="shared" si="3"/>
        <v>55</v>
      </c>
      <c r="S91" s="141"/>
      <c r="T91" t="s">
        <v>722</v>
      </c>
      <c r="U91" s="149">
        <f>SUM(R89:R91)</f>
        <v>110</v>
      </c>
    </row>
    <row r="92" spans="1:21">
      <c r="B92" t="s">
        <v>841</v>
      </c>
      <c r="C92" t="s">
        <v>842</v>
      </c>
      <c r="D92" s="150">
        <v>19040</v>
      </c>
      <c r="E92" s="139" t="s">
        <v>353</v>
      </c>
      <c r="F92" s="140">
        <v>13.75</v>
      </c>
      <c r="J92" s="141">
        <f t="shared" si="2"/>
        <v>13.75</v>
      </c>
      <c r="P92"/>
      <c r="R92" s="141">
        <f t="shared" si="3"/>
        <v>13.75</v>
      </c>
      <c r="S92" s="141"/>
      <c r="T92" t="s">
        <v>722</v>
      </c>
    </row>
    <row r="93" spans="1:21">
      <c r="B93" t="s">
        <v>843</v>
      </c>
      <c r="C93" t="s">
        <v>844</v>
      </c>
      <c r="D93" s="150">
        <v>19003</v>
      </c>
      <c r="E93" s="139" t="s">
        <v>353</v>
      </c>
      <c r="F93" s="140">
        <v>27.5</v>
      </c>
      <c r="J93" s="141">
        <f t="shared" si="2"/>
        <v>27.5</v>
      </c>
      <c r="R93" s="141">
        <f t="shared" si="3"/>
        <v>27.5</v>
      </c>
      <c r="T93" t="s">
        <v>722</v>
      </c>
    </row>
    <row r="94" spans="1:21">
      <c r="B94" t="s">
        <v>845</v>
      </c>
      <c r="C94" t="s">
        <v>846</v>
      </c>
      <c r="D94" s="150">
        <v>19070</v>
      </c>
      <c r="E94" s="139" t="s">
        <v>353</v>
      </c>
      <c r="F94" s="140">
        <v>27.5</v>
      </c>
      <c r="J94" s="141">
        <f t="shared" si="2"/>
        <v>27.5</v>
      </c>
      <c r="R94" s="141">
        <f t="shared" si="3"/>
        <v>27.5</v>
      </c>
      <c r="T94" t="s">
        <v>722</v>
      </c>
    </row>
    <row r="95" spans="1:21">
      <c r="B95" t="s">
        <v>847</v>
      </c>
      <c r="C95" t="s">
        <v>848</v>
      </c>
      <c r="D95" s="150">
        <v>19029</v>
      </c>
      <c r="E95" s="139" t="s">
        <v>353</v>
      </c>
      <c r="F95" s="140">
        <v>55</v>
      </c>
      <c r="J95" s="141">
        <f t="shared" si="2"/>
        <v>55</v>
      </c>
      <c r="R95" s="141">
        <f t="shared" si="3"/>
        <v>55</v>
      </c>
      <c r="T95" t="s">
        <v>722</v>
      </c>
    </row>
    <row r="96" spans="1:21">
      <c r="B96" t="s">
        <v>849</v>
      </c>
      <c r="C96" t="s">
        <v>850</v>
      </c>
      <c r="D96" s="150">
        <v>19028</v>
      </c>
      <c r="E96" s="139" t="s">
        <v>353</v>
      </c>
      <c r="F96" s="140">
        <v>55</v>
      </c>
      <c r="J96" s="141">
        <f t="shared" si="2"/>
        <v>55</v>
      </c>
      <c r="R96" s="141">
        <f t="shared" si="3"/>
        <v>55</v>
      </c>
      <c r="T96" t="s">
        <v>722</v>
      </c>
      <c r="U96" s="141">
        <f>SUM(R92:R96)</f>
        <v>178.75</v>
      </c>
    </row>
    <row r="97" spans="1:24">
      <c r="B97" t="s">
        <v>851</v>
      </c>
      <c r="C97" t="s">
        <v>852</v>
      </c>
      <c r="D97" s="150">
        <v>19050</v>
      </c>
      <c r="E97" s="139" t="s">
        <v>353</v>
      </c>
      <c r="F97" s="140">
        <v>55</v>
      </c>
      <c r="J97" s="141">
        <f t="shared" si="2"/>
        <v>55</v>
      </c>
      <c r="R97" s="141">
        <f t="shared" si="3"/>
        <v>55</v>
      </c>
      <c r="T97" t="s">
        <v>722</v>
      </c>
    </row>
    <row r="98" spans="1:24">
      <c r="B98" t="s">
        <v>853</v>
      </c>
      <c r="C98" t="s">
        <v>854</v>
      </c>
      <c r="D98" s="150">
        <v>19020</v>
      </c>
      <c r="E98" s="139" t="s">
        <v>353</v>
      </c>
      <c r="F98" s="140">
        <v>27.5</v>
      </c>
      <c r="J98" s="141">
        <f t="shared" si="2"/>
        <v>27.5</v>
      </c>
      <c r="R98" s="141">
        <f t="shared" si="3"/>
        <v>27.5</v>
      </c>
      <c r="T98" t="s">
        <v>722</v>
      </c>
      <c r="U98" s="141">
        <f>SUM(R97:R98)</f>
        <v>82.5</v>
      </c>
    </row>
    <row r="99" spans="1:24">
      <c r="B99" t="s">
        <v>855</v>
      </c>
      <c r="C99" s="152"/>
      <c r="D99" s="152"/>
      <c r="E99" s="139" t="s">
        <v>353</v>
      </c>
      <c r="F99" s="140">
        <v>1050</v>
      </c>
      <c r="J99"/>
      <c r="K99" s="141">
        <f>F99</f>
        <v>1050</v>
      </c>
      <c r="R99" s="141">
        <f>SUM(G99:Q99)</f>
        <v>1050</v>
      </c>
      <c r="S99" s="141"/>
    </row>
    <row r="100" spans="1:24">
      <c r="A100" s="142">
        <v>43770</v>
      </c>
      <c r="B100" t="s">
        <v>856</v>
      </c>
      <c r="C100" t="s">
        <v>857</v>
      </c>
      <c r="E100" s="139" t="s">
        <v>353</v>
      </c>
      <c r="F100" s="140">
        <v>27.5</v>
      </c>
      <c r="J100" s="141">
        <f t="shared" ref="J100:J109" si="4">F100</f>
        <v>27.5</v>
      </c>
      <c r="R100" s="141">
        <f t="shared" ref="R100:R144" si="5">SUM(G100:Q100)</f>
        <v>27.5</v>
      </c>
      <c r="T100" t="s">
        <v>725</v>
      </c>
    </row>
    <row r="101" spans="1:24">
      <c r="B101" t="s">
        <v>858</v>
      </c>
      <c r="C101" t="s">
        <v>859</v>
      </c>
      <c r="E101" s="139" t="s">
        <v>353</v>
      </c>
      <c r="F101" s="140">
        <v>13.75</v>
      </c>
      <c r="J101" s="141">
        <f t="shared" si="4"/>
        <v>13.75</v>
      </c>
      <c r="R101" s="141">
        <f t="shared" si="5"/>
        <v>13.75</v>
      </c>
      <c r="S101" s="141"/>
      <c r="T101" t="s">
        <v>725</v>
      </c>
    </row>
    <row r="102" spans="1:24">
      <c r="B102" t="s">
        <v>691</v>
      </c>
      <c r="C102" t="s">
        <v>692</v>
      </c>
      <c r="D102" s="150">
        <v>19006</v>
      </c>
      <c r="E102" s="139" t="s">
        <v>353</v>
      </c>
      <c r="F102" s="140">
        <v>27.5</v>
      </c>
      <c r="J102" s="141">
        <f t="shared" si="4"/>
        <v>27.5</v>
      </c>
      <c r="P102"/>
      <c r="R102" s="141">
        <f t="shared" si="5"/>
        <v>27.5</v>
      </c>
      <c r="S102" s="141"/>
      <c r="T102" t="s">
        <v>725</v>
      </c>
    </row>
    <row r="103" spans="1:24">
      <c r="B103" t="s">
        <v>860</v>
      </c>
      <c r="C103" t="s">
        <v>861</v>
      </c>
      <c r="D103" s="150">
        <v>19047</v>
      </c>
      <c r="E103" s="139" t="s">
        <v>353</v>
      </c>
      <c r="F103" s="140">
        <v>13.75</v>
      </c>
      <c r="J103" s="141">
        <f t="shared" si="4"/>
        <v>13.75</v>
      </c>
      <c r="R103" s="141">
        <f t="shared" si="5"/>
        <v>13.75</v>
      </c>
      <c r="S103" s="141"/>
      <c r="T103" t="s">
        <v>725</v>
      </c>
      <c r="U103" s="141">
        <f>SUM(R100:R103)</f>
        <v>82.5</v>
      </c>
    </row>
    <row r="104" spans="1:24">
      <c r="B104" t="s">
        <v>862</v>
      </c>
      <c r="C104" s="145" t="s">
        <v>863</v>
      </c>
      <c r="D104" s="150">
        <v>19056</v>
      </c>
      <c r="E104" s="139" t="s">
        <v>353</v>
      </c>
      <c r="F104" s="140">
        <v>55</v>
      </c>
      <c r="J104" s="141">
        <f t="shared" si="4"/>
        <v>55</v>
      </c>
      <c r="R104" s="141">
        <f t="shared" si="5"/>
        <v>55</v>
      </c>
      <c r="S104" s="141"/>
    </row>
    <row r="105" spans="1:24">
      <c r="A105" s="142">
        <v>43773</v>
      </c>
      <c r="B105" t="s">
        <v>864</v>
      </c>
      <c r="C105" s="145" t="s">
        <v>865</v>
      </c>
      <c r="D105" s="150">
        <v>19068</v>
      </c>
      <c r="E105" s="139" t="s">
        <v>353</v>
      </c>
      <c r="F105" s="140">
        <v>55</v>
      </c>
      <c r="J105" s="141">
        <f t="shared" si="4"/>
        <v>55</v>
      </c>
      <c r="R105" s="141">
        <f t="shared" si="5"/>
        <v>55</v>
      </c>
      <c r="U105" s="140"/>
    </row>
    <row r="106" spans="1:24">
      <c r="A106" s="142">
        <v>43777</v>
      </c>
      <c r="B106" t="s">
        <v>682</v>
      </c>
      <c r="C106" t="s">
        <v>866</v>
      </c>
      <c r="E106" s="139" t="s">
        <v>353</v>
      </c>
      <c r="F106" s="140">
        <v>3775</v>
      </c>
      <c r="J106"/>
      <c r="P106" s="141">
        <f>F106</f>
        <v>3775</v>
      </c>
      <c r="R106" s="141">
        <f t="shared" si="5"/>
        <v>3775</v>
      </c>
    </row>
    <row r="107" spans="1:24">
      <c r="B107" t="s">
        <v>867</v>
      </c>
      <c r="C107" t="s">
        <v>868</v>
      </c>
      <c r="D107" s="150">
        <v>19010</v>
      </c>
      <c r="E107" s="139" t="s">
        <v>353</v>
      </c>
      <c r="F107" s="140">
        <v>26</v>
      </c>
      <c r="J107" s="141">
        <f t="shared" si="4"/>
        <v>26</v>
      </c>
      <c r="R107" s="141">
        <f t="shared" si="5"/>
        <v>26</v>
      </c>
      <c r="S107" s="141"/>
    </row>
    <row r="108" spans="1:24">
      <c r="A108" s="142">
        <v>43780</v>
      </c>
      <c r="B108" t="s">
        <v>869</v>
      </c>
      <c r="D108" s="150">
        <v>19031</v>
      </c>
      <c r="E108" s="139" t="s">
        <v>353</v>
      </c>
      <c r="F108" s="140">
        <v>27.5</v>
      </c>
      <c r="J108" s="141">
        <f t="shared" si="4"/>
        <v>27.5</v>
      </c>
      <c r="R108" s="141">
        <f t="shared" si="5"/>
        <v>27.5</v>
      </c>
      <c r="S108" s="141"/>
      <c r="U108" s="149"/>
      <c r="V108" s="141"/>
      <c r="W108" s="141"/>
    </row>
    <row r="109" spans="1:24">
      <c r="A109" s="142">
        <v>43782</v>
      </c>
      <c r="B109" t="s">
        <v>870</v>
      </c>
      <c r="C109" t="s">
        <v>871</v>
      </c>
      <c r="D109" s="150">
        <v>19063</v>
      </c>
      <c r="E109" s="139" t="s">
        <v>353</v>
      </c>
      <c r="F109" s="140">
        <v>27.5</v>
      </c>
      <c r="J109" s="141">
        <f t="shared" si="4"/>
        <v>27.5</v>
      </c>
      <c r="R109" s="141">
        <f t="shared" si="5"/>
        <v>27.5</v>
      </c>
      <c r="S109" s="141"/>
      <c r="W109" s="141"/>
      <c r="X109" s="141"/>
    </row>
    <row r="110" spans="1:24">
      <c r="A110" s="142">
        <v>43785</v>
      </c>
      <c r="B110" t="s">
        <v>872</v>
      </c>
      <c r="C110" t="s">
        <v>873</v>
      </c>
      <c r="D110" s="150">
        <v>19021</v>
      </c>
      <c r="E110" s="139" t="s">
        <v>353</v>
      </c>
      <c r="F110" s="140">
        <v>13.75</v>
      </c>
      <c r="J110" s="141">
        <f>F110</f>
        <v>13.75</v>
      </c>
      <c r="R110" s="141">
        <f t="shared" si="5"/>
        <v>13.75</v>
      </c>
      <c r="T110" t="s">
        <v>874</v>
      </c>
      <c r="V110" s="141"/>
      <c r="W110" s="141"/>
    </row>
    <row r="111" spans="1:24">
      <c r="B111" t="s">
        <v>875</v>
      </c>
      <c r="C111" t="s">
        <v>876</v>
      </c>
      <c r="D111" s="150">
        <v>19065</v>
      </c>
      <c r="E111" s="139" t="s">
        <v>353</v>
      </c>
      <c r="F111" s="140">
        <v>55</v>
      </c>
      <c r="J111" s="141">
        <f>F111</f>
        <v>55</v>
      </c>
      <c r="R111" s="141">
        <f t="shared" si="5"/>
        <v>55</v>
      </c>
      <c r="T111" t="s">
        <v>874</v>
      </c>
      <c r="U111" s="149"/>
    </row>
    <row r="112" spans="1:24">
      <c r="B112" t="s">
        <v>877</v>
      </c>
      <c r="C112" t="s">
        <v>878</v>
      </c>
      <c r="D112" s="150">
        <v>19045</v>
      </c>
      <c r="E112" s="139" t="s">
        <v>353</v>
      </c>
      <c r="F112" s="140">
        <v>55</v>
      </c>
      <c r="J112" s="141">
        <f>F112</f>
        <v>55</v>
      </c>
      <c r="R112" s="141">
        <f t="shared" si="5"/>
        <v>55</v>
      </c>
      <c r="T112" t="s">
        <v>874</v>
      </c>
      <c r="X112" s="141">
        <f>SUM(J100:J112)</f>
        <v>397.25</v>
      </c>
    </row>
    <row r="113" spans="1:26">
      <c r="A113" s="142">
        <v>43800</v>
      </c>
      <c r="B113" t="s">
        <v>879</v>
      </c>
      <c r="C113" t="s">
        <v>880</v>
      </c>
      <c r="D113" s="150">
        <v>19039</v>
      </c>
      <c r="E113" s="139" t="s">
        <v>353</v>
      </c>
      <c r="F113" s="140">
        <v>27.5</v>
      </c>
      <c r="J113" s="141">
        <f>F113</f>
        <v>27.5</v>
      </c>
      <c r="O113"/>
      <c r="R113" s="141">
        <f t="shared" si="5"/>
        <v>27.5</v>
      </c>
      <c r="S113" s="141"/>
    </row>
    <row r="114" spans="1:26">
      <c r="A114" s="142">
        <v>43802</v>
      </c>
      <c r="B114" t="s">
        <v>684</v>
      </c>
      <c r="C114" t="s">
        <v>881</v>
      </c>
      <c r="E114" s="139" t="s">
        <v>353</v>
      </c>
      <c r="F114" s="153">
        <v>125</v>
      </c>
      <c r="K114" s="141">
        <f>F114</f>
        <v>125</v>
      </c>
      <c r="R114" s="141">
        <f t="shared" si="5"/>
        <v>125</v>
      </c>
      <c r="T114" t="s">
        <v>722</v>
      </c>
    </row>
    <row r="115" spans="1:26">
      <c r="B115" t="s">
        <v>882</v>
      </c>
      <c r="C115" t="s">
        <v>883</v>
      </c>
      <c r="D115" s="150">
        <v>19066</v>
      </c>
      <c r="E115" s="139" t="s">
        <v>353</v>
      </c>
      <c r="F115" s="153">
        <v>55</v>
      </c>
      <c r="J115" s="141">
        <f>F115</f>
        <v>55</v>
      </c>
      <c r="R115" s="141">
        <f t="shared" si="5"/>
        <v>55</v>
      </c>
      <c r="T115" t="s">
        <v>722</v>
      </c>
    </row>
    <row r="116" spans="1:26">
      <c r="B116" t="s">
        <v>700</v>
      </c>
      <c r="C116" t="s">
        <v>884</v>
      </c>
      <c r="E116" s="139" t="s">
        <v>353</v>
      </c>
      <c r="F116" s="153">
        <v>200</v>
      </c>
      <c r="J116"/>
      <c r="K116" s="141">
        <f>F116</f>
        <v>200</v>
      </c>
      <c r="R116" s="141">
        <f t="shared" si="5"/>
        <v>200</v>
      </c>
      <c r="T116" t="s">
        <v>722</v>
      </c>
      <c r="U116" s="141">
        <f>SUM(R114:R116)</f>
        <v>380</v>
      </c>
    </row>
    <row r="117" spans="1:26">
      <c r="A117" s="142">
        <v>43804</v>
      </c>
      <c r="B117" t="s">
        <v>885</v>
      </c>
      <c r="C117" t="s">
        <v>707</v>
      </c>
      <c r="D117" t="s">
        <v>886</v>
      </c>
      <c r="E117" s="139" t="s">
        <v>353</v>
      </c>
      <c r="F117" s="140">
        <v>1050</v>
      </c>
      <c r="J117"/>
      <c r="K117" s="141">
        <f>F117</f>
        <v>1050</v>
      </c>
      <c r="R117" s="141">
        <f t="shared" si="5"/>
        <v>1050</v>
      </c>
      <c r="U117" s="149"/>
      <c r="V117" s="141"/>
      <c r="W117" s="141"/>
    </row>
    <row r="118" spans="1:26">
      <c r="A118" s="142">
        <v>43805</v>
      </c>
      <c r="B118" t="s">
        <v>887</v>
      </c>
      <c r="C118" t="s">
        <v>888</v>
      </c>
      <c r="D118" s="150">
        <v>19042</v>
      </c>
      <c r="E118" s="139" t="s">
        <v>353</v>
      </c>
      <c r="F118" s="140">
        <v>27.5</v>
      </c>
      <c r="J118" s="141">
        <f t="shared" ref="J118:J124" si="6">F118</f>
        <v>27.5</v>
      </c>
      <c r="R118" s="141">
        <f t="shared" si="5"/>
        <v>27.5</v>
      </c>
    </row>
    <row r="119" spans="1:26">
      <c r="B119" t="s">
        <v>889</v>
      </c>
      <c r="C119" t="s">
        <v>890</v>
      </c>
      <c r="E119" s="139" t="s">
        <v>353</v>
      </c>
      <c r="F119" s="140">
        <v>27.5</v>
      </c>
      <c r="J119" s="141">
        <f t="shared" si="6"/>
        <v>27.5</v>
      </c>
      <c r="R119" s="141">
        <f t="shared" si="5"/>
        <v>27.5</v>
      </c>
    </row>
    <row r="120" spans="1:26">
      <c r="A120" s="142">
        <v>43819</v>
      </c>
      <c r="B120" t="s">
        <v>891</v>
      </c>
      <c r="C120" t="s">
        <v>892</v>
      </c>
      <c r="D120" s="150">
        <v>19030</v>
      </c>
      <c r="E120" s="139" t="s">
        <v>353</v>
      </c>
      <c r="F120" s="140">
        <v>27.5</v>
      </c>
      <c r="J120" s="141">
        <f t="shared" si="6"/>
        <v>27.5</v>
      </c>
      <c r="R120" s="141">
        <f t="shared" si="5"/>
        <v>27.5</v>
      </c>
      <c r="T120" t="s">
        <v>725</v>
      </c>
    </row>
    <row r="121" spans="1:26">
      <c r="A121" s="142">
        <v>43833</v>
      </c>
      <c r="B121" t="s">
        <v>867</v>
      </c>
      <c r="C121" t="s">
        <v>893</v>
      </c>
      <c r="E121" s="139" t="s">
        <v>353</v>
      </c>
      <c r="F121" s="140">
        <v>1.5</v>
      </c>
      <c r="J121" s="141">
        <f t="shared" si="6"/>
        <v>1.5</v>
      </c>
      <c r="R121" s="141">
        <f t="shared" si="5"/>
        <v>1.5</v>
      </c>
    </row>
    <row r="122" spans="1:26">
      <c r="A122" s="142">
        <v>43837</v>
      </c>
      <c r="B122" t="s">
        <v>894</v>
      </c>
      <c r="C122" t="s">
        <v>895</v>
      </c>
      <c r="E122" s="139" t="s">
        <v>353</v>
      </c>
      <c r="F122" s="140">
        <v>13.75</v>
      </c>
      <c r="J122" s="141">
        <f t="shared" si="6"/>
        <v>13.75</v>
      </c>
      <c r="R122" s="141">
        <f t="shared" si="5"/>
        <v>13.75</v>
      </c>
      <c r="V122" s="141"/>
      <c r="W122" s="141"/>
      <c r="Z122" s="141"/>
    </row>
    <row r="123" spans="1:26">
      <c r="A123" s="142">
        <v>43840</v>
      </c>
      <c r="B123" t="s">
        <v>896</v>
      </c>
      <c r="C123" t="s">
        <v>897</v>
      </c>
      <c r="D123" s="150">
        <v>19046</v>
      </c>
      <c r="E123" s="139" t="s">
        <v>353</v>
      </c>
      <c r="F123" s="140">
        <v>55</v>
      </c>
      <c r="J123" s="141">
        <f t="shared" si="6"/>
        <v>55</v>
      </c>
      <c r="R123" s="141">
        <f t="shared" si="5"/>
        <v>55</v>
      </c>
      <c r="T123" t="s">
        <v>725</v>
      </c>
      <c r="U123" s="149"/>
    </row>
    <row r="124" spans="1:26">
      <c r="A124" s="142">
        <v>43865</v>
      </c>
      <c r="B124" t="s">
        <v>898</v>
      </c>
      <c r="C124" t="s">
        <v>899</v>
      </c>
      <c r="D124" s="150">
        <v>19075</v>
      </c>
      <c r="E124" s="139" t="s">
        <v>353</v>
      </c>
      <c r="F124" s="140">
        <v>27.5</v>
      </c>
      <c r="J124" s="141">
        <f t="shared" si="6"/>
        <v>27.5</v>
      </c>
      <c r="R124" s="141">
        <f t="shared" si="5"/>
        <v>27.5</v>
      </c>
      <c r="S124" s="141"/>
    </row>
    <row r="125" spans="1:26">
      <c r="A125" s="142">
        <v>43867</v>
      </c>
      <c r="B125" t="s">
        <v>684</v>
      </c>
      <c r="C125" t="s">
        <v>900</v>
      </c>
      <c r="E125" s="139" t="s">
        <v>353</v>
      </c>
      <c r="F125" s="140">
        <v>200</v>
      </c>
      <c r="J125"/>
      <c r="K125" s="141">
        <f>F125</f>
        <v>200</v>
      </c>
      <c r="R125" s="141">
        <f t="shared" si="5"/>
        <v>200</v>
      </c>
      <c r="S125" s="141"/>
    </row>
    <row r="126" spans="1:26">
      <c r="A126" s="142">
        <v>43881</v>
      </c>
      <c r="B126" t="s">
        <v>901</v>
      </c>
      <c r="C126" t="s">
        <v>902</v>
      </c>
      <c r="E126" s="139" t="s">
        <v>353</v>
      </c>
      <c r="F126" s="140">
        <v>250</v>
      </c>
      <c r="K126" s="141">
        <f t="shared" ref="K126:K134" si="7">F126</f>
        <v>250</v>
      </c>
      <c r="R126" s="141">
        <f t="shared" si="5"/>
        <v>250</v>
      </c>
    </row>
    <row r="127" spans="1:26">
      <c r="A127" s="142">
        <v>43886</v>
      </c>
      <c r="B127" t="s">
        <v>903</v>
      </c>
      <c r="C127" t="s">
        <v>904</v>
      </c>
      <c r="D127" t="s">
        <v>905</v>
      </c>
      <c r="E127" s="139" t="s">
        <v>353</v>
      </c>
      <c r="F127" s="140">
        <v>200</v>
      </c>
      <c r="K127" s="141">
        <f t="shared" si="7"/>
        <v>200</v>
      </c>
      <c r="R127" s="141">
        <f t="shared" si="5"/>
        <v>200</v>
      </c>
      <c r="T127" t="s">
        <v>725</v>
      </c>
    </row>
    <row r="128" spans="1:26">
      <c r="B128" t="s">
        <v>903</v>
      </c>
      <c r="C128" t="s">
        <v>906</v>
      </c>
      <c r="D128" t="s">
        <v>907</v>
      </c>
      <c r="E128" s="139" t="s">
        <v>353</v>
      </c>
      <c r="F128" s="140">
        <v>200</v>
      </c>
      <c r="K128" s="141">
        <f t="shared" si="7"/>
        <v>200</v>
      </c>
      <c r="R128" s="141">
        <f t="shared" si="5"/>
        <v>200</v>
      </c>
      <c r="T128" t="s">
        <v>725</v>
      </c>
    </row>
    <row r="129" spans="1:24" s="145" customFormat="1">
      <c r="A129" s="147">
        <v>43888</v>
      </c>
      <c r="B129" s="145" t="s">
        <v>903</v>
      </c>
      <c r="C129" s="145" t="s">
        <v>906</v>
      </c>
      <c r="D129" s="145" t="s">
        <v>907</v>
      </c>
      <c r="E129" s="154" t="s">
        <v>353</v>
      </c>
      <c r="F129" s="153">
        <v>100</v>
      </c>
      <c r="G129" s="155"/>
      <c r="H129" s="155"/>
      <c r="I129" s="155"/>
      <c r="J129" s="155"/>
      <c r="K129" s="141">
        <f t="shared" si="7"/>
        <v>100</v>
      </c>
      <c r="L129" s="155"/>
      <c r="M129" s="155"/>
      <c r="N129" s="155"/>
      <c r="O129" s="155"/>
      <c r="P129" s="155"/>
      <c r="Q129" s="155"/>
      <c r="R129" s="155">
        <f t="shared" si="5"/>
        <v>100</v>
      </c>
      <c r="T129" s="145" t="s">
        <v>725</v>
      </c>
    </row>
    <row r="130" spans="1:24">
      <c r="A130" s="142">
        <v>43890</v>
      </c>
      <c r="B130" s="145" t="s">
        <v>908</v>
      </c>
      <c r="C130" s="145" t="s">
        <v>909</v>
      </c>
      <c r="D130" s="145" t="s">
        <v>910</v>
      </c>
      <c r="E130" s="139" t="s">
        <v>353</v>
      </c>
      <c r="F130" s="140">
        <v>200</v>
      </c>
      <c r="K130" s="141">
        <f t="shared" si="7"/>
        <v>200</v>
      </c>
      <c r="R130" s="141">
        <f t="shared" si="5"/>
        <v>200</v>
      </c>
      <c r="T130" t="s">
        <v>725</v>
      </c>
    </row>
    <row r="131" spans="1:24">
      <c r="A131" s="142">
        <v>43895</v>
      </c>
      <c r="B131" s="145" t="s">
        <v>684</v>
      </c>
      <c r="C131" s="145" t="s">
        <v>911</v>
      </c>
      <c r="E131" s="139" t="s">
        <v>353</v>
      </c>
      <c r="F131" s="140">
        <v>100</v>
      </c>
      <c r="K131" s="141">
        <f t="shared" si="7"/>
        <v>100</v>
      </c>
      <c r="R131" s="141">
        <f t="shared" si="5"/>
        <v>100</v>
      </c>
    </row>
    <row r="132" spans="1:24">
      <c r="B132" s="145" t="s">
        <v>912</v>
      </c>
      <c r="C132" s="145" t="s">
        <v>913</v>
      </c>
      <c r="D132" t="s">
        <v>914</v>
      </c>
      <c r="E132" s="139" t="s">
        <v>353</v>
      </c>
      <c r="F132" s="140">
        <v>350</v>
      </c>
      <c r="K132" s="141">
        <f t="shared" si="7"/>
        <v>350</v>
      </c>
      <c r="R132" s="141">
        <f t="shared" si="5"/>
        <v>350</v>
      </c>
      <c r="V132" s="141"/>
    </row>
    <row r="133" spans="1:24">
      <c r="B133" s="145" t="s">
        <v>700</v>
      </c>
      <c r="C133" s="145" t="s">
        <v>915</v>
      </c>
      <c r="D133" t="s">
        <v>916</v>
      </c>
      <c r="E133" s="139" t="s">
        <v>353</v>
      </c>
      <c r="F133" s="140">
        <v>350</v>
      </c>
      <c r="K133" s="141">
        <f t="shared" si="7"/>
        <v>350</v>
      </c>
      <c r="R133" s="141">
        <f t="shared" si="5"/>
        <v>350</v>
      </c>
      <c r="T133" s="141">
        <f>SUM(R131:R133)</f>
        <v>800</v>
      </c>
      <c r="W133" s="141"/>
      <c r="X133" s="141"/>
    </row>
    <row r="134" spans="1:24">
      <c r="A134" s="142">
        <v>43902</v>
      </c>
      <c r="B134" s="145" t="s">
        <v>917</v>
      </c>
      <c r="C134" s="145" t="s">
        <v>918</v>
      </c>
      <c r="D134" t="s">
        <v>919</v>
      </c>
      <c r="E134" s="139" t="s">
        <v>353</v>
      </c>
      <c r="F134" s="140">
        <v>1150</v>
      </c>
      <c r="K134" s="141">
        <f t="shared" si="7"/>
        <v>1150</v>
      </c>
      <c r="R134" s="141">
        <f t="shared" si="5"/>
        <v>1150</v>
      </c>
    </row>
    <row r="135" spans="1:24">
      <c r="A135" s="142">
        <v>43913</v>
      </c>
      <c r="B135" s="145" t="s">
        <v>920</v>
      </c>
      <c r="C135" s="145" t="s">
        <v>921</v>
      </c>
      <c r="E135" s="139" t="s">
        <v>353</v>
      </c>
      <c r="F135" s="140">
        <v>30000</v>
      </c>
      <c r="Q135" s="141">
        <v>30000</v>
      </c>
      <c r="R135" s="141">
        <f t="shared" si="5"/>
        <v>30000</v>
      </c>
      <c r="V135" s="141">
        <f>SUM(K126:K134)</f>
        <v>2900</v>
      </c>
    </row>
    <row r="136" spans="1:24">
      <c r="A136" s="142">
        <v>43915</v>
      </c>
      <c r="B136" s="145" t="s">
        <v>46</v>
      </c>
      <c r="C136" s="145" t="s">
        <v>922</v>
      </c>
      <c r="F136" s="140">
        <v>14383.04</v>
      </c>
      <c r="G136" s="141">
        <v>14383.04</v>
      </c>
      <c r="R136" s="141">
        <f t="shared" si="5"/>
        <v>14383.04</v>
      </c>
    </row>
    <row r="137" spans="1:24">
      <c r="A137" s="142">
        <v>43918</v>
      </c>
      <c r="B137" s="145" t="s">
        <v>923</v>
      </c>
      <c r="C137" s="145" t="s">
        <v>924</v>
      </c>
      <c r="F137" s="140">
        <v>10.31</v>
      </c>
      <c r="J137" s="141">
        <v>10.31</v>
      </c>
      <c r="R137" s="141">
        <f t="shared" si="5"/>
        <v>10.31</v>
      </c>
    </row>
    <row r="138" spans="1:24">
      <c r="R138" s="141">
        <f>SUM(G138:Q138)</f>
        <v>0</v>
      </c>
    </row>
    <row r="139" spans="1:24">
      <c r="R139" s="141">
        <f t="shared" si="5"/>
        <v>0</v>
      </c>
    </row>
    <row r="140" spans="1:24">
      <c r="R140" s="141">
        <f t="shared" si="5"/>
        <v>0</v>
      </c>
    </row>
    <row r="141" spans="1:24">
      <c r="R141" s="141">
        <f t="shared" si="5"/>
        <v>0</v>
      </c>
      <c r="T141" s="141"/>
    </row>
    <row r="142" spans="1:24">
      <c r="R142" s="141">
        <f t="shared" si="5"/>
        <v>0</v>
      </c>
    </row>
    <row r="143" spans="1:24">
      <c r="R143" s="141">
        <f>SUM(G143:Q143)</f>
        <v>0</v>
      </c>
    </row>
    <row r="144" spans="1:24">
      <c r="R144" s="141">
        <f t="shared" si="5"/>
        <v>0</v>
      </c>
    </row>
    <row r="145" spans="2:22">
      <c r="F145" s="140">
        <f t="shared" ref="F145:R145" si="8">SUM(F5:F144)</f>
        <v>195329.30000000002</v>
      </c>
      <c r="G145" s="141">
        <f t="shared" si="8"/>
        <v>24437.410000000003</v>
      </c>
      <c r="H145" s="141">
        <f t="shared" si="8"/>
        <v>99011</v>
      </c>
      <c r="I145" s="141">
        <f t="shared" si="8"/>
        <v>0</v>
      </c>
      <c r="J145" s="141">
        <f t="shared" si="8"/>
        <v>3042.19</v>
      </c>
      <c r="K145" s="141">
        <f t="shared" si="8"/>
        <v>10275</v>
      </c>
      <c r="L145" s="141">
        <f t="shared" si="8"/>
        <v>2813.7</v>
      </c>
      <c r="M145" s="141">
        <f t="shared" si="8"/>
        <v>0</v>
      </c>
      <c r="N145" s="141">
        <f t="shared" si="8"/>
        <v>0</v>
      </c>
      <c r="O145" s="141">
        <f t="shared" si="8"/>
        <v>1125</v>
      </c>
      <c r="P145" s="141">
        <f t="shared" si="8"/>
        <v>24625</v>
      </c>
      <c r="Q145" s="141">
        <f t="shared" si="8"/>
        <v>30000</v>
      </c>
      <c r="R145" s="141">
        <f t="shared" si="8"/>
        <v>195329.30000000002</v>
      </c>
      <c r="T145" s="141">
        <f>SUM(H145:M145)</f>
        <v>115141.89</v>
      </c>
    </row>
    <row r="146" spans="2:22">
      <c r="R146" s="141">
        <f>SUM(R5:R144)-G145</f>
        <v>170891.89</v>
      </c>
      <c r="T146" s="141">
        <f>SUM(H145:O145)</f>
        <v>116266.89</v>
      </c>
      <c r="U146" s="141">
        <f>T146-'[1]Inc&amp;Expend'!B12</f>
        <v>1125</v>
      </c>
    </row>
    <row r="147" spans="2:22">
      <c r="R147" s="141">
        <f>SUM(G145:P145)</f>
        <v>165329.30000000002</v>
      </c>
      <c r="T147" t="str">
        <f>IF(SUM(G147:Q147)=F147,"",SUM(G147:Q147)-F147)</f>
        <v/>
      </c>
    </row>
    <row r="148" spans="2:22">
      <c r="R148" s="141">
        <f>SUM(H145:Q145)</f>
        <v>170891.89</v>
      </c>
      <c r="V148" s="141"/>
    </row>
    <row r="149" spans="2:22">
      <c r="F149" s="156">
        <f>F145-F150</f>
        <v>0</v>
      </c>
      <c r="G149" s="156">
        <f t="shared" ref="G149:Q149" si="9">G145-G150</f>
        <v>0</v>
      </c>
      <c r="H149" s="156">
        <f t="shared" si="9"/>
        <v>0</v>
      </c>
      <c r="I149" s="156">
        <f t="shared" si="9"/>
        <v>0</v>
      </c>
      <c r="J149" s="156">
        <f t="shared" si="9"/>
        <v>0</v>
      </c>
      <c r="K149" s="156">
        <f t="shared" si="9"/>
        <v>0</v>
      </c>
      <c r="L149" s="156">
        <f t="shared" si="9"/>
        <v>0</v>
      </c>
      <c r="M149" s="156">
        <f t="shared" si="9"/>
        <v>0</v>
      </c>
      <c r="N149" s="156">
        <f t="shared" si="9"/>
        <v>0</v>
      </c>
      <c r="O149" s="156">
        <f t="shared" si="9"/>
        <v>0</v>
      </c>
      <c r="P149" s="156">
        <f t="shared" si="9"/>
        <v>0</v>
      </c>
      <c r="Q149" s="156">
        <f t="shared" si="9"/>
        <v>0</v>
      </c>
    </row>
    <row r="150" spans="2:22" ht="15.75" thickBot="1">
      <c r="B150" t="s">
        <v>925</v>
      </c>
      <c r="F150" s="157">
        <f>SUM(F151:F162)</f>
        <v>195329.30000000002</v>
      </c>
      <c r="G150" s="157">
        <f t="shared" ref="G150:Q150" si="10">SUM(G151:G162)</f>
        <v>24437.410000000003</v>
      </c>
      <c r="H150" s="157">
        <f t="shared" si="10"/>
        <v>99011</v>
      </c>
      <c r="I150" s="157">
        <f t="shared" si="10"/>
        <v>0</v>
      </c>
      <c r="J150" s="157">
        <f t="shared" si="10"/>
        <v>3042.19</v>
      </c>
      <c r="K150" s="157">
        <f t="shared" si="10"/>
        <v>10275</v>
      </c>
      <c r="L150" s="157">
        <f t="shared" si="10"/>
        <v>2813.7</v>
      </c>
      <c r="M150" s="157">
        <f t="shared" si="10"/>
        <v>0</v>
      </c>
      <c r="N150" s="157">
        <f t="shared" si="10"/>
        <v>0</v>
      </c>
      <c r="O150" s="157">
        <f t="shared" si="10"/>
        <v>1125</v>
      </c>
      <c r="P150" s="157">
        <f t="shared" si="10"/>
        <v>24625</v>
      </c>
      <c r="Q150" s="157">
        <f t="shared" si="10"/>
        <v>30000</v>
      </c>
    </row>
    <row r="151" spans="2:22" ht="15.75" thickTop="1">
      <c r="B151" t="s">
        <v>647</v>
      </c>
      <c r="F151" s="140">
        <f t="shared" ref="F151:Q151" si="11">SUM(F5:F8)</f>
        <v>60029.87</v>
      </c>
      <c r="G151" s="140">
        <f t="shared" si="11"/>
        <v>10054.370000000001</v>
      </c>
      <c r="H151" s="140">
        <f t="shared" si="11"/>
        <v>49505.5</v>
      </c>
      <c r="I151" s="140">
        <f t="shared" si="11"/>
        <v>0</v>
      </c>
      <c r="J151" s="140">
        <f t="shared" si="11"/>
        <v>0</v>
      </c>
      <c r="K151" s="140">
        <f t="shared" si="11"/>
        <v>470</v>
      </c>
      <c r="L151" s="140">
        <f t="shared" si="11"/>
        <v>0</v>
      </c>
      <c r="M151" s="140">
        <f t="shared" si="11"/>
        <v>0</v>
      </c>
      <c r="N151" s="140">
        <f t="shared" si="11"/>
        <v>0</v>
      </c>
      <c r="O151" s="140">
        <f t="shared" si="11"/>
        <v>0</v>
      </c>
      <c r="P151" s="140">
        <f t="shared" si="11"/>
        <v>0</v>
      </c>
      <c r="Q151" s="140">
        <f t="shared" si="11"/>
        <v>0</v>
      </c>
    </row>
    <row r="152" spans="2:22">
      <c r="B152" t="s">
        <v>648</v>
      </c>
      <c r="F152" s="140">
        <f t="shared" ref="F152:Q152" si="12">SUM(F9:F10)</f>
        <v>138.75</v>
      </c>
      <c r="G152" s="140">
        <f t="shared" si="12"/>
        <v>0</v>
      </c>
      <c r="H152" s="140">
        <f t="shared" si="12"/>
        <v>0</v>
      </c>
      <c r="I152" s="140">
        <f t="shared" si="12"/>
        <v>0</v>
      </c>
      <c r="J152" s="140">
        <f t="shared" si="12"/>
        <v>13.75</v>
      </c>
      <c r="K152" s="140">
        <f t="shared" si="12"/>
        <v>125</v>
      </c>
      <c r="L152" s="140">
        <f t="shared" si="12"/>
        <v>0</v>
      </c>
      <c r="M152" s="140">
        <f t="shared" si="12"/>
        <v>0</v>
      </c>
      <c r="N152" s="140">
        <f t="shared" si="12"/>
        <v>0</v>
      </c>
      <c r="O152" s="140">
        <f t="shared" si="12"/>
        <v>0</v>
      </c>
      <c r="P152" s="140">
        <f t="shared" si="12"/>
        <v>0</v>
      </c>
      <c r="Q152" s="140">
        <f t="shared" si="12"/>
        <v>0</v>
      </c>
    </row>
    <row r="153" spans="2:22">
      <c r="B153" t="s">
        <v>649</v>
      </c>
      <c r="F153" s="140">
        <f t="shared" ref="F153:Q153" si="13">SUM(F11:F18)</f>
        <v>4324.33</v>
      </c>
      <c r="G153" s="140">
        <f t="shared" si="13"/>
        <v>0</v>
      </c>
      <c r="H153" s="140">
        <f t="shared" si="13"/>
        <v>0</v>
      </c>
      <c r="I153" s="140">
        <f t="shared" si="13"/>
        <v>0</v>
      </c>
      <c r="J153" s="140">
        <f t="shared" si="13"/>
        <v>20.63</v>
      </c>
      <c r="K153" s="140">
        <f t="shared" si="13"/>
        <v>1490</v>
      </c>
      <c r="L153" s="140">
        <f t="shared" si="13"/>
        <v>2813.7</v>
      </c>
      <c r="M153" s="140">
        <f t="shared" si="13"/>
        <v>0</v>
      </c>
      <c r="N153" s="140">
        <f t="shared" si="13"/>
        <v>0</v>
      </c>
      <c r="O153" s="140">
        <f t="shared" si="13"/>
        <v>0</v>
      </c>
      <c r="P153" s="140">
        <f t="shared" si="13"/>
        <v>0</v>
      </c>
      <c r="Q153" s="140">
        <f t="shared" si="13"/>
        <v>0</v>
      </c>
    </row>
    <row r="154" spans="2:22">
      <c r="B154" t="s">
        <v>650</v>
      </c>
      <c r="F154" s="140">
        <f t="shared" ref="F154:Q154" si="14">SUM(F19:F22)</f>
        <v>11615</v>
      </c>
      <c r="G154" s="140">
        <f t="shared" si="14"/>
        <v>0</v>
      </c>
      <c r="H154" s="140">
        <f t="shared" si="14"/>
        <v>0</v>
      </c>
      <c r="I154" s="140">
        <f t="shared" si="14"/>
        <v>0</v>
      </c>
      <c r="J154" s="140">
        <f t="shared" si="14"/>
        <v>0</v>
      </c>
      <c r="K154" s="140">
        <f t="shared" si="14"/>
        <v>1190</v>
      </c>
      <c r="L154" s="140">
        <f t="shared" si="14"/>
        <v>0</v>
      </c>
      <c r="M154" s="140">
        <f t="shared" si="14"/>
        <v>0</v>
      </c>
      <c r="N154" s="140">
        <f t="shared" si="14"/>
        <v>0</v>
      </c>
      <c r="O154" s="140">
        <f t="shared" si="14"/>
        <v>0</v>
      </c>
      <c r="P154" s="140">
        <f t="shared" si="14"/>
        <v>10425</v>
      </c>
      <c r="Q154" s="140">
        <f t="shared" si="14"/>
        <v>0</v>
      </c>
    </row>
    <row r="155" spans="2:22">
      <c r="B155" t="s">
        <v>651</v>
      </c>
      <c r="F155" s="140">
        <f t="shared" ref="F155:Q155" si="15">SUM(F23:F26)</f>
        <v>1400</v>
      </c>
      <c r="G155" s="140">
        <f t="shared" si="15"/>
        <v>0</v>
      </c>
      <c r="H155" s="140">
        <f t="shared" si="15"/>
        <v>0</v>
      </c>
      <c r="I155" s="140">
        <f t="shared" si="15"/>
        <v>0</v>
      </c>
      <c r="J155" s="140">
        <f t="shared" si="15"/>
        <v>0</v>
      </c>
      <c r="K155" s="140">
        <f t="shared" si="15"/>
        <v>1400</v>
      </c>
      <c r="L155" s="140">
        <f t="shared" si="15"/>
        <v>0</v>
      </c>
      <c r="M155" s="140">
        <f t="shared" si="15"/>
        <v>0</v>
      </c>
      <c r="N155" s="140">
        <f t="shared" si="15"/>
        <v>0</v>
      </c>
      <c r="O155" s="140">
        <f t="shared" si="15"/>
        <v>0</v>
      </c>
      <c r="P155" s="140">
        <f t="shared" si="15"/>
        <v>0</v>
      </c>
      <c r="Q155" s="140">
        <f t="shared" si="15"/>
        <v>0</v>
      </c>
    </row>
    <row r="156" spans="2:22">
      <c r="B156" t="s">
        <v>652</v>
      </c>
      <c r="F156" s="140">
        <f t="shared" ref="F156:Q156" si="16">SUM(F27:F28)</f>
        <v>50630.5</v>
      </c>
      <c r="G156" s="140">
        <f t="shared" si="16"/>
        <v>0</v>
      </c>
      <c r="H156" s="140">
        <f t="shared" si="16"/>
        <v>49505.5</v>
      </c>
      <c r="I156" s="140">
        <f t="shared" si="16"/>
        <v>0</v>
      </c>
      <c r="J156" s="140">
        <f t="shared" si="16"/>
        <v>0</v>
      </c>
      <c r="K156" s="140">
        <f t="shared" si="16"/>
        <v>0</v>
      </c>
      <c r="L156" s="140">
        <f t="shared" si="16"/>
        <v>0</v>
      </c>
      <c r="M156" s="140">
        <f t="shared" si="16"/>
        <v>0</v>
      </c>
      <c r="N156" s="140">
        <f t="shared" si="16"/>
        <v>0</v>
      </c>
      <c r="O156" s="140">
        <f t="shared" si="16"/>
        <v>1125</v>
      </c>
      <c r="P156" s="140">
        <f t="shared" si="16"/>
        <v>0</v>
      </c>
      <c r="Q156" s="140">
        <f t="shared" si="16"/>
        <v>0</v>
      </c>
    </row>
    <row r="157" spans="2:22">
      <c r="B157" t="s">
        <v>653</v>
      </c>
      <c r="F157" s="140">
        <f t="shared" ref="F157:Q157" si="17">SUM(F29:F99)</f>
        <v>13887.5</v>
      </c>
      <c r="G157" s="140">
        <f t="shared" si="17"/>
        <v>0</v>
      </c>
      <c r="H157" s="140">
        <f t="shared" si="17"/>
        <v>0</v>
      </c>
      <c r="I157" s="140">
        <f t="shared" si="17"/>
        <v>0</v>
      </c>
      <c r="J157" s="140">
        <f t="shared" si="17"/>
        <v>2337.5</v>
      </c>
      <c r="K157" s="140">
        <f t="shared" si="17"/>
        <v>1125</v>
      </c>
      <c r="L157" s="140">
        <f t="shared" si="17"/>
        <v>0</v>
      </c>
      <c r="M157" s="140">
        <f t="shared" si="17"/>
        <v>0</v>
      </c>
      <c r="N157" s="140">
        <f t="shared" si="17"/>
        <v>0</v>
      </c>
      <c r="O157" s="140">
        <f t="shared" si="17"/>
        <v>0</v>
      </c>
      <c r="P157" s="140">
        <f t="shared" si="17"/>
        <v>10425</v>
      </c>
      <c r="Q157" s="140">
        <f t="shared" si="17"/>
        <v>0</v>
      </c>
    </row>
    <row r="158" spans="2:22">
      <c r="B158" t="s">
        <v>654</v>
      </c>
      <c r="F158" s="140">
        <f t="shared" ref="F158:Q158" si="18">SUM(F100:F112)</f>
        <v>4172.25</v>
      </c>
      <c r="G158" s="140">
        <f t="shared" si="18"/>
        <v>0</v>
      </c>
      <c r="H158" s="140">
        <f t="shared" si="18"/>
        <v>0</v>
      </c>
      <c r="I158" s="140">
        <f t="shared" si="18"/>
        <v>0</v>
      </c>
      <c r="J158" s="140">
        <f t="shared" si="18"/>
        <v>397.25</v>
      </c>
      <c r="K158" s="140">
        <f t="shared" si="18"/>
        <v>0</v>
      </c>
      <c r="L158" s="140">
        <f t="shared" si="18"/>
        <v>0</v>
      </c>
      <c r="M158" s="140">
        <f t="shared" si="18"/>
        <v>0</v>
      </c>
      <c r="N158" s="140">
        <f t="shared" si="18"/>
        <v>0</v>
      </c>
      <c r="O158" s="140">
        <f t="shared" si="18"/>
        <v>0</v>
      </c>
      <c r="P158" s="140">
        <f t="shared" si="18"/>
        <v>3775</v>
      </c>
      <c r="Q158" s="140">
        <f t="shared" si="18"/>
        <v>0</v>
      </c>
    </row>
    <row r="159" spans="2:22">
      <c r="B159" t="s">
        <v>655</v>
      </c>
      <c r="F159" s="140">
        <f>SUM(F113:F120)</f>
        <v>1540</v>
      </c>
      <c r="G159" s="140">
        <f t="shared" ref="G159:Q159" si="19">SUM(G113:G120)</f>
        <v>0</v>
      </c>
      <c r="H159" s="140">
        <f t="shared" si="19"/>
        <v>0</v>
      </c>
      <c r="I159" s="140">
        <f t="shared" si="19"/>
        <v>0</v>
      </c>
      <c r="J159" s="140">
        <f t="shared" si="19"/>
        <v>165</v>
      </c>
      <c r="K159" s="140">
        <f t="shared" si="19"/>
        <v>1375</v>
      </c>
      <c r="L159" s="140">
        <f t="shared" si="19"/>
        <v>0</v>
      </c>
      <c r="M159" s="140">
        <f t="shared" si="19"/>
        <v>0</v>
      </c>
      <c r="N159" s="140">
        <f t="shared" si="19"/>
        <v>0</v>
      </c>
      <c r="O159" s="140">
        <f t="shared" si="19"/>
        <v>0</v>
      </c>
      <c r="P159" s="140">
        <f t="shared" si="19"/>
        <v>0</v>
      </c>
      <c r="Q159" s="140">
        <f t="shared" si="19"/>
        <v>0</v>
      </c>
    </row>
    <row r="160" spans="2:22">
      <c r="B160" t="s">
        <v>656</v>
      </c>
      <c r="F160" s="140">
        <f>SUM(F121:F123)</f>
        <v>70.25</v>
      </c>
      <c r="G160" s="140">
        <f t="shared" ref="G160:Q160" si="20">SUM(G121:G123)</f>
        <v>0</v>
      </c>
      <c r="H160" s="140">
        <f t="shared" si="20"/>
        <v>0</v>
      </c>
      <c r="I160" s="140">
        <f t="shared" si="20"/>
        <v>0</v>
      </c>
      <c r="J160" s="140">
        <f t="shared" si="20"/>
        <v>70.25</v>
      </c>
      <c r="K160" s="140">
        <f t="shared" si="20"/>
        <v>0</v>
      </c>
      <c r="L160" s="140">
        <f t="shared" si="20"/>
        <v>0</v>
      </c>
      <c r="M160" s="140">
        <f t="shared" si="20"/>
        <v>0</v>
      </c>
      <c r="N160" s="140">
        <f t="shared" si="20"/>
        <v>0</v>
      </c>
      <c r="O160" s="140">
        <f t="shared" si="20"/>
        <v>0</v>
      </c>
      <c r="P160" s="140">
        <f t="shared" si="20"/>
        <v>0</v>
      </c>
      <c r="Q160" s="140">
        <f t="shared" si="20"/>
        <v>0</v>
      </c>
    </row>
    <row r="161" spans="1:18">
      <c r="B161" t="s">
        <v>657</v>
      </c>
      <c r="F161" s="140">
        <f>SUM(F124:F130)</f>
        <v>1177.5</v>
      </c>
      <c r="G161" s="140">
        <f t="shared" ref="G161:Q161" si="21">SUM(G124:G130)</f>
        <v>0</v>
      </c>
      <c r="H161" s="140">
        <f t="shared" si="21"/>
        <v>0</v>
      </c>
      <c r="I161" s="140">
        <f t="shared" si="21"/>
        <v>0</v>
      </c>
      <c r="J161" s="140">
        <f t="shared" si="21"/>
        <v>27.5</v>
      </c>
      <c r="K161" s="140">
        <f t="shared" si="21"/>
        <v>1150</v>
      </c>
      <c r="L161" s="140">
        <f t="shared" si="21"/>
        <v>0</v>
      </c>
      <c r="M161" s="140">
        <f t="shared" si="21"/>
        <v>0</v>
      </c>
      <c r="N161" s="140">
        <f t="shared" si="21"/>
        <v>0</v>
      </c>
      <c r="O161" s="140">
        <f t="shared" si="21"/>
        <v>0</v>
      </c>
      <c r="P161" s="140">
        <f t="shared" si="21"/>
        <v>0</v>
      </c>
      <c r="Q161" s="140">
        <f t="shared" si="21"/>
        <v>0</v>
      </c>
    </row>
    <row r="162" spans="1:18">
      <c r="A162"/>
      <c r="B162" t="s">
        <v>658</v>
      </c>
      <c r="F162" s="140">
        <f>SUM(F131:F137)</f>
        <v>46343.35</v>
      </c>
      <c r="G162" s="140">
        <f t="shared" ref="G162:Q162" si="22">SUM(G131:G137)</f>
        <v>14383.04</v>
      </c>
      <c r="H162" s="140">
        <f t="shared" si="22"/>
        <v>0</v>
      </c>
      <c r="I162" s="140">
        <f t="shared" si="22"/>
        <v>0</v>
      </c>
      <c r="J162" s="140">
        <f t="shared" si="22"/>
        <v>10.31</v>
      </c>
      <c r="K162" s="140">
        <f t="shared" si="22"/>
        <v>1950</v>
      </c>
      <c r="L162" s="140">
        <f t="shared" si="22"/>
        <v>0</v>
      </c>
      <c r="M162" s="140">
        <f t="shared" si="22"/>
        <v>0</v>
      </c>
      <c r="N162" s="140">
        <f t="shared" si="22"/>
        <v>0</v>
      </c>
      <c r="O162" s="140">
        <f t="shared" si="22"/>
        <v>0</v>
      </c>
      <c r="P162" s="140">
        <f t="shared" si="22"/>
        <v>0</v>
      </c>
      <c r="Q162" s="140">
        <f t="shared" si="22"/>
        <v>30000</v>
      </c>
      <c r="R162"/>
    </row>
  </sheetData>
  <autoFilter ref="A1:S162"/>
  <pageMargins left="0.25" right="0.25" top="0.75" bottom="0.75" header="0.3" footer="0.3"/>
  <pageSetup paperSize="9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>
      <selection activeCell="I292" sqref="I292"/>
    </sheetView>
  </sheetViews>
  <sheetFormatPr defaultRowHeight="15"/>
  <cols>
    <col min="1" max="1" width="10.7109375" bestFit="1" customWidth="1"/>
    <col min="2" max="2" width="15.7109375" bestFit="1" customWidth="1"/>
    <col min="4" max="4" width="10.5703125" bestFit="1" customWidth="1"/>
    <col min="5" max="5" width="10.5703125" customWidth="1"/>
    <col min="6" max="8" width="10.5703125" bestFit="1" customWidth="1"/>
    <col min="9" max="9" width="9.28515625" customWidth="1"/>
  </cols>
  <sheetData>
    <row r="1" spans="1:10">
      <c r="A1" s="158"/>
      <c r="D1" t="s">
        <v>1</v>
      </c>
    </row>
    <row r="2" spans="1:10" ht="15.75">
      <c r="A2" s="159" t="s">
        <v>926</v>
      </c>
    </row>
    <row r="4" spans="1:10" s="158" customFormat="1">
      <c r="A4" s="158" t="s">
        <v>927</v>
      </c>
      <c r="B4" s="158" t="s">
        <v>928</v>
      </c>
      <c r="D4" s="160" t="s">
        <v>929</v>
      </c>
      <c r="E4" s="158" t="s">
        <v>930</v>
      </c>
      <c r="F4" s="158" t="s">
        <v>931</v>
      </c>
      <c r="G4" s="158" t="s">
        <v>932</v>
      </c>
      <c r="H4" s="158" t="s">
        <v>933</v>
      </c>
      <c r="I4" s="158" t="s">
        <v>934</v>
      </c>
    </row>
    <row r="5" spans="1:10">
      <c r="A5" s="161">
        <v>43556</v>
      </c>
      <c r="E5" s="162">
        <v>34825.760000000002</v>
      </c>
    </row>
    <row r="6" spans="1:10">
      <c r="A6" s="161">
        <v>43556</v>
      </c>
      <c r="B6" t="s">
        <v>935</v>
      </c>
      <c r="D6" s="162">
        <v>0.09</v>
      </c>
      <c r="E6" s="162">
        <f>E5+D6</f>
        <v>34825.85</v>
      </c>
      <c r="G6" s="162">
        <f>D6</f>
        <v>0.09</v>
      </c>
      <c r="H6" s="162"/>
      <c r="I6" s="162"/>
      <c r="J6" s="162"/>
    </row>
    <row r="7" spans="1:10">
      <c r="A7" s="161">
        <v>43913</v>
      </c>
      <c r="B7" t="s">
        <v>936</v>
      </c>
      <c r="D7" s="162">
        <v>-30000</v>
      </c>
      <c r="E7" s="162">
        <f t="shared" ref="E7:E21" si="0">E6+D7</f>
        <v>4825.8499999999985</v>
      </c>
      <c r="F7" s="162"/>
      <c r="G7" s="162"/>
      <c r="H7" s="162">
        <f>D7</f>
        <v>-30000</v>
      </c>
      <c r="I7" s="162"/>
      <c r="J7" s="162"/>
    </row>
    <row r="8" spans="1:10">
      <c r="A8" s="161"/>
      <c r="D8" s="162">
        <v>21</v>
      </c>
      <c r="E8" s="162">
        <f t="shared" si="0"/>
        <v>4846.8499999999985</v>
      </c>
      <c r="F8" s="162">
        <f t="shared" ref="F8:F21" si="1">D8</f>
        <v>21</v>
      </c>
      <c r="G8" s="162"/>
      <c r="H8" s="162"/>
      <c r="I8" s="162"/>
      <c r="J8" s="162"/>
    </row>
    <row r="9" spans="1:10">
      <c r="A9" s="161"/>
      <c r="D9" s="162">
        <v>19.190000000000001</v>
      </c>
      <c r="E9" s="162">
        <f t="shared" si="0"/>
        <v>4866.0399999999981</v>
      </c>
      <c r="F9" s="162">
        <f t="shared" si="1"/>
        <v>19.190000000000001</v>
      </c>
      <c r="G9" s="162"/>
      <c r="H9" s="162"/>
      <c r="I9" s="162"/>
      <c r="J9" s="162"/>
    </row>
    <row r="10" spans="1:10">
      <c r="A10" s="161"/>
      <c r="D10" s="162">
        <v>19.75</v>
      </c>
      <c r="E10" s="162">
        <f t="shared" si="0"/>
        <v>4885.7899999999981</v>
      </c>
      <c r="F10" s="162">
        <f t="shared" si="1"/>
        <v>19.75</v>
      </c>
      <c r="G10" s="162"/>
      <c r="H10" s="162"/>
      <c r="I10" s="162"/>
      <c r="J10" s="162"/>
    </row>
    <row r="11" spans="1:10">
      <c r="A11" s="161"/>
      <c r="D11" s="162">
        <v>23.3</v>
      </c>
      <c r="E11" s="162">
        <f t="shared" si="0"/>
        <v>4909.0899999999983</v>
      </c>
      <c r="F11" s="162">
        <f t="shared" si="1"/>
        <v>23.3</v>
      </c>
      <c r="G11" s="162"/>
      <c r="H11" s="162"/>
      <c r="I11" s="162"/>
      <c r="J11" s="162"/>
    </row>
    <row r="12" spans="1:10">
      <c r="A12" s="161"/>
      <c r="D12" s="162">
        <v>25.56</v>
      </c>
      <c r="E12" s="162">
        <f t="shared" si="0"/>
        <v>4934.6499999999987</v>
      </c>
      <c r="F12" s="162">
        <f t="shared" si="1"/>
        <v>25.56</v>
      </c>
      <c r="G12" s="162"/>
      <c r="H12" s="162"/>
      <c r="I12" s="162"/>
      <c r="J12" s="162"/>
    </row>
    <row r="13" spans="1:10">
      <c r="A13" s="161"/>
      <c r="D13" s="162">
        <v>25.25</v>
      </c>
      <c r="E13" s="162">
        <f t="shared" si="0"/>
        <v>4959.8999999999987</v>
      </c>
      <c r="F13" s="162">
        <f t="shared" si="1"/>
        <v>25.25</v>
      </c>
      <c r="G13" s="162"/>
      <c r="H13" s="162"/>
      <c r="I13" s="162"/>
      <c r="J13" s="162"/>
    </row>
    <row r="14" spans="1:10">
      <c r="A14" s="161"/>
      <c r="D14" s="162">
        <v>25.98</v>
      </c>
      <c r="E14" s="162">
        <f t="shared" si="0"/>
        <v>4985.8799999999983</v>
      </c>
      <c r="F14" s="162">
        <f t="shared" si="1"/>
        <v>25.98</v>
      </c>
      <c r="G14" s="162"/>
      <c r="H14" s="162"/>
      <c r="I14" s="162"/>
      <c r="J14" s="162"/>
    </row>
    <row r="15" spans="1:10">
      <c r="A15" s="161"/>
      <c r="D15" s="162">
        <v>24.03</v>
      </c>
      <c r="E15" s="162">
        <f t="shared" si="0"/>
        <v>5009.909999999998</v>
      </c>
      <c r="F15" s="162">
        <f t="shared" si="1"/>
        <v>24.03</v>
      </c>
      <c r="G15" s="162"/>
      <c r="H15" s="162"/>
      <c r="I15" s="162"/>
      <c r="J15" s="162"/>
    </row>
    <row r="16" spans="1:10">
      <c r="A16" s="161"/>
      <c r="D16" s="162">
        <f>24.8-0.01</f>
        <v>24.79</v>
      </c>
      <c r="E16" s="162">
        <f t="shared" si="0"/>
        <v>5034.699999999998</v>
      </c>
      <c r="F16" s="162">
        <f>D16</f>
        <v>24.79</v>
      </c>
      <c r="G16" s="162"/>
      <c r="H16" s="162"/>
      <c r="I16" s="162"/>
      <c r="J16" s="162"/>
    </row>
    <row r="17" spans="1:10">
      <c r="A17" s="161"/>
      <c r="D17" s="162">
        <v>27.06</v>
      </c>
      <c r="E17" s="162">
        <f t="shared" si="0"/>
        <v>5061.7599999999984</v>
      </c>
      <c r="F17" s="162">
        <f t="shared" si="1"/>
        <v>27.06</v>
      </c>
      <c r="G17" s="162"/>
      <c r="H17" s="162"/>
      <c r="I17" s="162"/>
      <c r="J17" s="162"/>
    </row>
    <row r="18" spans="1:10">
      <c r="A18" s="161"/>
      <c r="D18" s="162">
        <v>26.22</v>
      </c>
      <c r="E18" s="162">
        <f t="shared" si="0"/>
        <v>5087.9799999999987</v>
      </c>
      <c r="F18" s="162">
        <f t="shared" si="1"/>
        <v>26.22</v>
      </c>
      <c r="G18" s="162"/>
      <c r="H18" s="162"/>
      <c r="I18" s="162"/>
      <c r="J18" s="162"/>
    </row>
    <row r="19" spans="1:10">
      <c r="A19" s="161"/>
      <c r="D19" s="162">
        <v>22.03</v>
      </c>
      <c r="E19" s="162">
        <f t="shared" si="0"/>
        <v>5110.0099999999984</v>
      </c>
      <c r="F19" s="162">
        <f>D19</f>
        <v>22.03</v>
      </c>
      <c r="G19" s="162"/>
      <c r="H19" s="162"/>
      <c r="I19" s="162"/>
      <c r="J19" s="162"/>
    </row>
    <row r="20" spans="1:10">
      <c r="A20" s="161"/>
      <c r="D20" s="162">
        <v>2.92</v>
      </c>
      <c r="E20" s="162">
        <f t="shared" si="0"/>
        <v>5112.9299999999985</v>
      </c>
      <c r="F20" s="162">
        <f>D20</f>
        <v>2.92</v>
      </c>
      <c r="G20" s="162"/>
      <c r="H20" s="162"/>
      <c r="I20" s="162"/>
      <c r="J20" s="162"/>
    </row>
    <row r="21" spans="1:10">
      <c r="A21" s="161"/>
      <c r="D21" s="162"/>
      <c r="E21" s="162">
        <f t="shared" si="0"/>
        <v>5112.9299999999985</v>
      </c>
      <c r="F21" s="162">
        <f t="shared" si="1"/>
        <v>0</v>
      </c>
      <c r="G21" s="162"/>
      <c r="H21" s="162"/>
      <c r="I21" s="162"/>
      <c r="J21" s="162"/>
    </row>
    <row r="22" spans="1:10" ht="15.75" thickBot="1">
      <c r="A22" s="161"/>
      <c r="E22" s="163">
        <f>E21</f>
        <v>5112.9299999999985</v>
      </c>
      <c r="F22" s="162"/>
      <c r="G22" s="162"/>
      <c r="H22" s="162"/>
      <c r="I22" s="162"/>
      <c r="J22" s="162"/>
    </row>
    <row r="23" spans="1:10" ht="15.75" thickTop="1">
      <c r="D23" s="162"/>
      <c r="E23" s="162"/>
      <c r="F23" s="162"/>
      <c r="G23" s="162"/>
      <c r="H23" s="162"/>
      <c r="I23" s="162"/>
      <c r="J23" s="162"/>
    </row>
    <row r="24" spans="1:10">
      <c r="D24" s="162">
        <f>SUM(D6:D23)</f>
        <v>-29712.83</v>
      </c>
      <c r="E24" s="162"/>
      <c r="F24" s="162">
        <f>SUM(F6:F23)</f>
        <v>287.08</v>
      </c>
      <c r="G24" s="162">
        <f>SUM(G6:G23)</f>
        <v>0.09</v>
      </c>
      <c r="H24" s="162">
        <f>SUM(H6:H23)</f>
        <v>-30000</v>
      </c>
      <c r="I24" s="162">
        <f>SUM(I6:I23)</f>
        <v>0</v>
      </c>
      <c r="J24" s="162"/>
    </row>
    <row r="25" spans="1:10">
      <c r="D25" s="162"/>
      <c r="E25" s="162"/>
      <c r="F25" s="162"/>
      <c r="G25" s="162"/>
      <c r="H25" s="162"/>
      <c r="I25" s="162"/>
      <c r="J25" s="162"/>
    </row>
    <row r="26" spans="1:10">
      <c r="I26" s="156">
        <f>SUM(F24:I24)-D24</f>
        <v>0</v>
      </c>
    </row>
    <row r="27" spans="1:10">
      <c r="G27" s="1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98" zoomScaleNormal="100" zoomScaleSheetLayoutView="98" workbookViewId="0">
      <selection activeCell="A20" sqref="A20"/>
    </sheetView>
  </sheetViews>
  <sheetFormatPr defaultRowHeight="15"/>
  <cols>
    <col min="1" max="1" width="24.5703125" style="166" customWidth="1"/>
    <col min="2" max="2" width="9.140625" style="166" customWidth="1"/>
    <col min="3" max="3" width="10.7109375" style="166" bestFit="1" customWidth="1"/>
    <col min="4" max="4" width="9.140625" style="166" customWidth="1"/>
    <col min="5" max="5" width="16.5703125" style="166" bestFit="1" customWidth="1"/>
    <col min="6" max="6" width="4.85546875" customWidth="1"/>
    <col min="7" max="7" width="11.28515625" bestFit="1" customWidth="1"/>
  </cols>
  <sheetData>
    <row r="1" spans="1:5">
      <c r="A1" s="165" t="s">
        <v>0</v>
      </c>
    </row>
    <row r="2" spans="1:5">
      <c r="A2" s="165" t="s">
        <v>937</v>
      </c>
      <c r="C2" s="165" t="s">
        <v>938</v>
      </c>
    </row>
    <row r="3" spans="1:5">
      <c r="A3" s="167"/>
    </row>
    <row r="4" spans="1:5">
      <c r="A4" s="167" t="s">
        <v>939</v>
      </c>
      <c r="E4" s="168" t="s">
        <v>929</v>
      </c>
    </row>
    <row r="5" spans="1:5">
      <c r="A5" s="169" t="s">
        <v>940</v>
      </c>
      <c r="E5" s="170">
        <v>12510.34</v>
      </c>
    </row>
    <row r="6" spans="1:5">
      <c r="A6" s="166" t="s">
        <v>941</v>
      </c>
      <c r="E6" s="170">
        <f>Income!F145</f>
        <v>195329.30000000002</v>
      </c>
    </row>
    <row r="7" spans="1:5">
      <c r="A7" s="166" t="s">
        <v>942</v>
      </c>
      <c r="E7" s="171">
        <f>-Expenditure!H298</f>
        <v>-163580.45000000001</v>
      </c>
    </row>
    <row r="8" spans="1:5">
      <c r="A8" s="166" t="s">
        <v>943</v>
      </c>
      <c r="E8" s="172">
        <f>SUM(E5:E7)</f>
        <v>44259.19</v>
      </c>
    </row>
    <row r="9" spans="1:5">
      <c r="E9" s="170"/>
    </row>
    <row r="10" spans="1:5">
      <c r="A10" s="167" t="s">
        <v>950</v>
      </c>
      <c r="E10" s="170"/>
    </row>
    <row r="11" spans="1:5">
      <c r="A11" s="169" t="s">
        <v>940</v>
      </c>
      <c r="E11" s="173">
        <f>'BDC Deposit'!E5</f>
        <v>34825.760000000002</v>
      </c>
    </row>
    <row r="12" spans="1:5">
      <c r="A12" s="166" t="s">
        <v>941</v>
      </c>
      <c r="E12" s="170">
        <f>'BDC Deposit'!F24+'BDC Deposit'!G24</f>
        <v>287.16999999999996</v>
      </c>
    </row>
    <row r="13" spans="1:5">
      <c r="A13" s="166" t="s">
        <v>942</v>
      </c>
      <c r="E13" s="171">
        <f>'BDC Deposit'!H24</f>
        <v>-30000</v>
      </c>
    </row>
    <row r="14" spans="1:5">
      <c r="A14" s="166" t="s">
        <v>943</v>
      </c>
      <c r="E14" s="170">
        <f>SUM(E11:E13)</f>
        <v>5112.93</v>
      </c>
    </row>
    <row r="15" spans="1:5">
      <c r="A15" s="167"/>
      <c r="E15" s="171">
        <v>0</v>
      </c>
    </row>
    <row r="16" spans="1:5" ht="15.75" thickBot="1">
      <c r="A16" s="174" t="s">
        <v>944</v>
      </c>
      <c r="B16" s="175" t="s">
        <v>945</v>
      </c>
      <c r="E16" s="176">
        <f>E8+E14+E15</f>
        <v>49372.12</v>
      </c>
    </row>
    <row r="17" spans="1:7" ht="15.75" thickTop="1">
      <c r="E17" s="170"/>
    </row>
    <row r="18" spans="1:7">
      <c r="E18" s="170"/>
    </row>
    <row r="19" spans="1:7">
      <c r="A19" s="166" t="s">
        <v>946</v>
      </c>
      <c r="B19" s="175" t="s">
        <v>945</v>
      </c>
      <c r="E19" s="177">
        <v>44259.19</v>
      </c>
      <c r="G19" s="151"/>
    </row>
    <row r="20" spans="1:7">
      <c r="A20" s="166" t="s">
        <v>947</v>
      </c>
      <c r="E20" s="170">
        <f>-Expenditure!G299</f>
        <v>0</v>
      </c>
    </row>
    <row r="21" spans="1:7">
      <c r="A21" s="166" t="s">
        <v>948</v>
      </c>
      <c r="E21" s="178"/>
    </row>
    <row r="22" spans="1:7">
      <c r="D22" s="179"/>
      <c r="E22" s="177">
        <f>SUM(E19:E21)</f>
        <v>44259.19</v>
      </c>
    </row>
    <row r="23" spans="1:7">
      <c r="D23" s="179"/>
      <c r="E23" s="170"/>
    </row>
    <row r="24" spans="1:7">
      <c r="A24" s="174" t="s">
        <v>951</v>
      </c>
      <c r="E24" s="180">
        <f>'BDC Deposit'!E22</f>
        <v>5112.9299999999985</v>
      </c>
    </row>
    <row r="25" spans="1:7">
      <c r="A25" s="181"/>
      <c r="E25" s="180"/>
    </row>
    <row r="26" spans="1:7" ht="15.75" thickBot="1">
      <c r="A26" s="182" t="s">
        <v>949</v>
      </c>
      <c r="B26" s="183" t="s">
        <v>945</v>
      </c>
      <c r="C26" s="167"/>
      <c r="D26" s="167"/>
      <c r="E26" s="184">
        <f>SUM(E22:E24)</f>
        <v>49372.12</v>
      </c>
      <c r="G26" s="185">
        <f>E26-E16</f>
        <v>0</v>
      </c>
    </row>
    <row r="27" spans="1:7" ht="15.75" thickTop="1">
      <c r="E27" s="186"/>
    </row>
    <row r="28" spans="1:7">
      <c r="E28" s="186"/>
    </row>
    <row r="29" spans="1:7">
      <c r="E29" s="186"/>
    </row>
    <row r="30" spans="1:7">
      <c r="E30" s="186"/>
    </row>
    <row r="31" spans="1:7">
      <c r="E31" s="186"/>
    </row>
    <row r="32" spans="1:7">
      <c r="E32" s="186"/>
    </row>
    <row r="33" spans="5:5">
      <c r="E33" s="186"/>
    </row>
    <row r="34" spans="5:5">
      <c r="E34" s="186"/>
    </row>
    <row r="35" spans="5:5">
      <c r="E35" s="186"/>
    </row>
    <row r="36" spans="5:5">
      <c r="E36" s="187"/>
    </row>
    <row r="37" spans="5:5">
      <c r="E37" s="187"/>
    </row>
    <row r="38" spans="5:5">
      <c r="E38" s="187"/>
    </row>
    <row r="39" spans="5:5">
      <c r="E39" s="187"/>
    </row>
    <row r="40" spans="5:5">
      <c r="E40" s="187"/>
    </row>
    <row r="41" spans="5:5">
      <c r="E41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Expenditure</vt:lpstr>
      <vt:lpstr>Income</vt:lpstr>
      <vt:lpstr>BDC Deposit</vt:lpstr>
      <vt:lpstr>Bank Rec</vt:lpstr>
      <vt:lpstr>'Bank Rec'!Print_Area</vt:lpstr>
      <vt:lpstr>Expenditure!Print_Area</vt:lpstr>
      <vt:lpstr>Income!Print_Area</vt:lpstr>
      <vt:lpstr>Expenditure!Print_Titles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2020-04-23T15:00:49Z</dcterms:created>
  <dcterms:modified xsi:type="dcterms:W3CDTF">2020-06-10T16:54:11Z</dcterms:modified>
</cp:coreProperties>
</file>