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udget 2022-23" sheetId="1" r:id="rId1"/>
  </sheets>
  <definedNames>
    <definedName name="_xlnm.Print_Area" localSheetId="0">'Budget 2022-23'!$A$1:$Q$109</definedName>
  </definedNames>
  <calcPr calcId="125725"/>
</workbook>
</file>

<file path=xl/calcChain.xml><?xml version="1.0" encoding="utf-8"?>
<calcChain xmlns="http://schemas.openxmlformats.org/spreadsheetml/2006/main">
  <c r="I97" i="1"/>
  <c r="M113"/>
  <c r="M112"/>
  <c r="M114" s="1"/>
  <c r="M110"/>
  <c r="E109"/>
  <c r="F109" s="1"/>
  <c r="F108"/>
  <c r="G108" s="1"/>
  <c r="B108"/>
  <c r="E107"/>
  <c r="F107" s="1"/>
  <c r="G107" s="1"/>
  <c r="F106"/>
  <c r="G106" s="1"/>
  <c r="L105"/>
  <c r="I99"/>
  <c r="I101" s="1"/>
  <c r="I102" s="1"/>
  <c r="I96"/>
  <c r="Q95"/>
  <c r="O95"/>
  <c r="M95"/>
  <c r="I95"/>
  <c r="C95"/>
  <c r="C111" s="1"/>
  <c r="C112" s="1"/>
  <c r="D92"/>
  <c r="F89"/>
  <c r="D86"/>
  <c r="G83"/>
  <c r="F83"/>
  <c r="G82"/>
  <c r="F82"/>
  <c r="H82" s="1"/>
  <c r="F81"/>
  <c r="G81" s="1"/>
  <c r="D80"/>
  <c r="E80" s="1"/>
  <c r="F80" s="1"/>
  <c r="L79"/>
  <c r="F79"/>
  <c r="G79" s="1"/>
  <c r="H78"/>
  <c r="F78"/>
  <c r="G78" s="1"/>
  <c r="L77"/>
  <c r="F77"/>
  <c r="G77" s="1"/>
  <c r="E76"/>
  <c r="F76" s="1"/>
  <c r="E75"/>
  <c r="F75" s="1"/>
  <c r="E74"/>
  <c r="F74" s="1"/>
  <c r="G74" s="1"/>
  <c r="E73"/>
  <c r="F73" s="1"/>
  <c r="G72"/>
  <c r="F72"/>
  <c r="H72" s="1"/>
  <c r="E72"/>
  <c r="F71"/>
  <c r="G71" s="1"/>
  <c r="E71"/>
  <c r="E70"/>
  <c r="F70" s="1"/>
  <c r="L67"/>
  <c r="G67"/>
  <c r="F67"/>
  <c r="J66"/>
  <c r="H66"/>
  <c r="G66"/>
  <c r="F66"/>
  <c r="H64"/>
  <c r="F64"/>
  <c r="G64" s="1"/>
  <c r="G62"/>
  <c r="F62"/>
  <c r="F59"/>
  <c r="G59" s="1"/>
  <c r="F57"/>
  <c r="H57" s="1"/>
  <c r="E56"/>
  <c r="F56" s="1"/>
  <c r="G55"/>
  <c r="F55"/>
  <c r="H55" s="1"/>
  <c r="F53"/>
  <c r="H53" s="1"/>
  <c r="H52"/>
  <c r="G52"/>
  <c r="F52"/>
  <c r="H51"/>
  <c r="F51"/>
  <c r="G51" s="1"/>
  <c r="D45"/>
  <c r="D44"/>
  <c r="B44"/>
  <c r="G43"/>
  <c r="F43"/>
  <c r="H43" s="1"/>
  <c r="G42"/>
  <c r="F42"/>
  <c r="H42" s="1"/>
  <c r="H41"/>
  <c r="F41"/>
  <c r="G41" s="1"/>
  <c r="B40"/>
  <c r="B95" s="1"/>
  <c r="B111" s="1"/>
  <c r="B112" s="1"/>
  <c r="E39"/>
  <c r="F39" s="1"/>
  <c r="G38"/>
  <c r="F38"/>
  <c r="H38" s="1"/>
  <c r="E38"/>
  <c r="L37"/>
  <c r="L95" s="1"/>
  <c r="F35"/>
  <c r="G35" s="1"/>
  <c r="F34"/>
  <c r="G34" s="1"/>
  <c r="F33"/>
  <c r="G33" s="1"/>
  <c r="H31"/>
  <c r="F31"/>
  <c r="G31" s="1"/>
  <c r="F30"/>
  <c r="G30" s="1"/>
  <c r="E30"/>
  <c r="F28"/>
  <c r="G28" s="1"/>
  <c r="E28"/>
  <c r="E27"/>
  <c r="F27" s="1"/>
  <c r="F25"/>
  <c r="G25" s="1"/>
  <c r="E24"/>
  <c r="F24" s="1"/>
  <c r="F23"/>
  <c r="H23" s="1"/>
  <c r="E23"/>
  <c r="E22"/>
  <c r="F22" s="1"/>
  <c r="F21"/>
  <c r="G21" s="1"/>
  <c r="E20"/>
  <c r="F20" s="1"/>
  <c r="G20" s="1"/>
  <c r="E19"/>
  <c r="F19" s="1"/>
  <c r="G18"/>
  <c r="F18"/>
  <c r="H18" s="1"/>
  <c r="E17"/>
  <c r="F17" s="1"/>
  <c r="H15"/>
  <c r="F15"/>
  <c r="G15" s="1"/>
  <c r="F14"/>
  <c r="G14" s="1"/>
  <c r="F13"/>
  <c r="G13" s="1"/>
  <c r="F12"/>
  <c r="G12" s="1"/>
  <c r="H11"/>
  <c r="F11"/>
  <c r="G11" s="1"/>
  <c r="F9"/>
  <c r="G9" s="1"/>
  <c r="H8"/>
  <c r="F8"/>
  <c r="G8" s="1"/>
  <c r="F7"/>
  <c r="G7" s="1"/>
  <c r="H6"/>
  <c r="F6"/>
  <c r="G6" s="1"/>
  <c r="E6"/>
  <c r="F5"/>
  <c r="H5" s="1"/>
  <c r="F4"/>
  <c r="G4" s="1"/>
  <c r="Q97" l="1"/>
  <c r="H75"/>
  <c r="G75"/>
  <c r="G23"/>
  <c r="H34"/>
  <c r="G53"/>
  <c r="I100"/>
  <c r="E95"/>
  <c r="G5"/>
  <c r="H13"/>
  <c r="H21"/>
  <c r="O97"/>
  <c r="M97"/>
  <c r="G57"/>
  <c r="D95"/>
  <c r="D111" s="1"/>
  <c r="D112" s="1"/>
  <c r="H106"/>
  <c r="H24"/>
  <c r="G24"/>
  <c r="G17"/>
  <c r="H17"/>
  <c r="G22"/>
  <c r="H22"/>
  <c r="G70"/>
  <c r="H70"/>
  <c r="H109"/>
  <c r="G109"/>
  <c r="H80"/>
  <c r="G80"/>
  <c r="G39"/>
  <c r="H39"/>
  <c r="G76"/>
  <c r="H76"/>
  <c r="G19"/>
  <c r="H19"/>
  <c r="G56"/>
  <c r="H56"/>
  <c r="G73"/>
  <c r="H73"/>
  <c r="H27"/>
  <c r="G27"/>
  <c r="H9"/>
  <c r="H14"/>
  <c r="H25"/>
  <c r="H30"/>
  <c r="H35"/>
  <c r="Q99"/>
  <c r="H108"/>
  <c r="O99"/>
  <c r="H4"/>
  <c r="H28"/>
  <c r="H59"/>
  <c r="H81"/>
  <c r="H107"/>
  <c r="M99"/>
  <c r="F95"/>
  <c r="H7"/>
  <c r="H12"/>
  <c r="H20"/>
  <c r="H33"/>
  <c r="H71"/>
  <c r="H74"/>
  <c r="G95" l="1"/>
  <c r="Q101"/>
  <c r="Q102" s="1"/>
  <c r="Q100"/>
  <c r="M101"/>
  <c r="M102" s="1"/>
  <c r="M100"/>
  <c r="O101"/>
  <c r="O102" s="1"/>
  <c r="O100"/>
</calcChain>
</file>

<file path=xl/comments1.xml><?xml version="1.0" encoding="utf-8"?>
<comments xmlns="http://schemas.openxmlformats.org/spreadsheetml/2006/main">
  <authors>
    <author>Claudia Dickson</author>
    <author>Claudia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Claudia Dickson:</t>
        </r>
        <r>
          <rPr>
            <sz val="9"/>
            <color indexed="81"/>
            <rFont val="Tahoma"/>
            <family val="2"/>
          </rPr>
          <t xml:space="preserve">
Considering amending to misc office expenditure</t>
        </r>
      </text>
    </comment>
    <comment ref="O2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includes an option of adding a Cemetery Manager for Rialtas </t>
        </r>
      </text>
    </comment>
    <comment ref="Q2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includes an option of adding a Cemetery Manager for Rialtas 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Claudia Dickson:</t>
        </r>
        <r>
          <rPr>
            <sz val="9"/>
            <color indexed="81"/>
            <rFont val="Tahoma"/>
            <family val="2"/>
          </rPr>
          <t xml:space="preserve">
split 50:50 on Rialtas
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PRoW expenses
</t>
        </r>
      </text>
    </comment>
  </commentList>
</comments>
</file>

<file path=xl/sharedStrings.xml><?xml version="1.0" encoding="utf-8"?>
<sst xmlns="http://schemas.openxmlformats.org/spreadsheetml/2006/main" count="151" uniqueCount="123">
  <si>
    <t>Reserves</t>
  </si>
  <si>
    <t>Spent/</t>
  </si>
  <si>
    <t>Projected</t>
  </si>
  <si>
    <t>Difference</t>
  </si>
  <si>
    <t>% over/under</t>
  </si>
  <si>
    <t>Budget</t>
  </si>
  <si>
    <t>Figs in red are income</t>
  </si>
  <si>
    <t>Actuals</t>
  </si>
  <si>
    <t>held at end</t>
  </si>
  <si>
    <t>received</t>
  </si>
  <si>
    <t>Total spend</t>
  </si>
  <si>
    <t>(-/+)</t>
  </si>
  <si>
    <t>2021-22</t>
  </si>
  <si>
    <t>Comments</t>
  </si>
  <si>
    <t>expected at end</t>
  </si>
  <si>
    <t>2022-23</t>
  </si>
  <si>
    <t>2023-24</t>
  </si>
  <si>
    <t>2024-25</t>
  </si>
  <si>
    <t>Figs in black are expenditure</t>
  </si>
  <si>
    <t>2020-21</t>
  </si>
  <si>
    <t>to 8-11-21</t>
  </si>
  <si>
    <t>to 31-3-22</t>
  </si>
  <si>
    <t>Rialtas</t>
  </si>
  <si>
    <t>Chairman's Allowance</t>
  </si>
  <si>
    <t>Members Expenses</t>
  </si>
  <si>
    <t>Handyman</t>
  </si>
  <si>
    <t xml:space="preserve">Repairs and Maintenance </t>
  </si>
  <si>
    <t>Refuse Collection</t>
  </si>
  <si>
    <t>Church Lane wheelie bin</t>
  </si>
  <si>
    <t>New grit bin/waste bins</t>
  </si>
  <si>
    <t>Fees/Insurances/Subscriptions</t>
  </si>
  <si>
    <t>Insurance</t>
  </si>
  <si>
    <t>Professional Fees</t>
  </si>
  <si>
    <t>Subscriptions &amp; Memberships</t>
  </si>
  <si>
    <t>Planning fees</t>
  </si>
  <si>
    <t>Audit fees</t>
  </si>
  <si>
    <t>Office administration</t>
  </si>
  <si>
    <t>Mileage</t>
  </si>
  <si>
    <t>Office equipment</t>
  </si>
  <si>
    <t>Office equipment maintenance</t>
  </si>
  <si>
    <t>Stationery</t>
  </si>
  <si>
    <t>postage</t>
  </si>
  <si>
    <t>printing</t>
  </si>
  <si>
    <t>telephone</t>
  </si>
  <si>
    <t>mobile</t>
  </si>
  <si>
    <t>IT (inc website)</t>
  </si>
  <si>
    <t>General expenses</t>
  </si>
  <si>
    <t>rent</t>
  </si>
  <si>
    <t>Room hire</t>
  </si>
  <si>
    <r>
      <t xml:space="preserve">Accounts package - </t>
    </r>
    <r>
      <rPr>
        <sz val="11"/>
        <color rgb="FF00B0F0"/>
        <rFont val="Calibri"/>
        <family val="2"/>
        <scheme val="minor"/>
      </rPr>
      <t>new for 2020</t>
    </r>
  </si>
  <si>
    <t>see IT (inc website)</t>
  </si>
  <si>
    <t>Parish Clerks</t>
  </si>
  <si>
    <t>see staffing sheet</t>
  </si>
  <si>
    <t>Training</t>
  </si>
  <si>
    <t>Donations received</t>
  </si>
  <si>
    <t>Donations - S137</t>
  </si>
  <si>
    <t>Grants</t>
  </si>
  <si>
    <t>Youth Fund</t>
  </si>
  <si>
    <t>Street Lighting</t>
  </si>
  <si>
    <t>Street Lighting reserve</t>
  </si>
  <si>
    <t>Electricity</t>
  </si>
  <si>
    <t>Covid-19</t>
  </si>
  <si>
    <t>Projects</t>
  </si>
  <si>
    <t xml:space="preserve"> </t>
  </si>
  <si>
    <r>
      <t xml:space="preserve">Recreation &amp; Wellbeing - </t>
    </r>
    <r>
      <rPr>
        <sz val="11"/>
        <color rgb="FF00B0F0"/>
        <rFont val="Calibri"/>
        <family val="2"/>
        <scheme val="minor"/>
      </rPr>
      <t>new for 2021</t>
    </r>
  </si>
  <si>
    <t>Land Management</t>
  </si>
  <si>
    <t>Allotments removed</t>
  </si>
  <si>
    <t>Provision</t>
  </si>
  <si>
    <t>tree management</t>
  </si>
  <si>
    <t>Land Management reserve</t>
  </si>
  <si>
    <t>Play equipment</t>
  </si>
  <si>
    <t>Play equipment now in Asset accrual</t>
  </si>
  <si>
    <t>Playground reserve</t>
  </si>
  <si>
    <t>Countryside Park</t>
  </si>
  <si>
    <t>provision</t>
  </si>
  <si>
    <t>Cemetery</t>
  </si>
  <si>
    <t>water</t>
  </si>
  <si>
    <t>Cremer's</t>
  </si>
  <si>
    <t>projects</t>
  </si>
  <si>
    <t>Cremers reserve</t>
  </si>
  <si>
    <t>Church Fen</t>
  </si>
  <si>
    <t>Boardwalk repair now in Asset accrual</t>
  </si>
  <si>
    <t>Cremers reserve - Cable's donation</t>
  </si>
  <si>
    <t>Church Fen reserve</t>
  </si>
  <si>
    <t>Grass cutting</t>
  </si>
  <si>
    <t>to allow for inc in Minimum Wage</t>
  </si>
  <si>
    <t>Delegated Function</t>
  </si>
  <si>
    <t>Memorial Hall</t>
  </si>
  <si>
    <t>Meadow View</t>
  </si>
  <si>
    <t>Cemetery reserve</t>
  </si>
  <si>
    <t>General Fund Reserves</t>
  </si>
  <si>
    <t>Interest savings</t>
  </si>
  <si>
    <t>Del Functions grass</t>
  </si>
  <si>
    <t>Forestry grant</t>
  </si>
  <si>
    <t>S106 reserve</t>
  </si>
  <si>
    <t>S106 from BDC</t>
  </si>
  <si>
    <t>S106 expenditure</t>
  </si>
  <si>
    <t>CIL</t>
  </si>
  <si>
    <t>BDC Ward Grant for Zebra Crossing</t>
  </si>
  <si>
    <t>Accrual for traffic management</t>
  </si>
  <si>
    <t>LEMH</t>
  </si>
  <si>
    <t>SH borrowing</t>
  </si>
  <si>
    <t>Sport and Recreation provision</t>
  </si>
  <si>
    <t>Asset maintenance and replacement - see asset register</t>
  </si>
  <si>
    <t>Includes repair of assets during the year</t>
  </si>
  <si>
    <t>Percentage (%) increase from previous year</t>
  </si>
  <si>
    <t>2021-22 Band D £75.97</t>
  </si>
  <si>
    <t>2021-22 1652 properties</t>
  </si>
  <si>
    <t>2022-23 1696 properties</t>
  </si>
  <si>
    <t>2020-21 Band D £69.80</t>
  </si>
  <si>
    <t>% increase</t>
  </si>
  <si>
    <t>2019-20 Band D £59.79</t>
  </si>
  <si>
    <t>increase amount</t>
  </si>
  <si>
    <t>increase per month</t>
  </si>
  <si>
    <t>Allotments</t>
  </si>
  <si>
    <t>reserve</t>
  </si>
  <si>
    <t>Repairs &amp; Maintenance</t>
  </si>
  <si>
    <t>land rent</t>
  </si>
  <si>
    <t>Allotment rental</t>
  </si>
  <si>
    <t>Expenditure</t>
  </si>
  <si>
    <t>Income</t>
  </si>
  <si>
    <t>Precept</t>
  </si>
  <si>
    <t>now included in the asset accrual</t>
  </si>
</sst>
</file>

<file path=xl/styles.xml><?xml version="1.0" encoding="utf-8"?>
<styleSheet xmlns="http://schemas.openxmlformats.org/spreadsheetml/2006/main">
  <numFmts count="11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;[Red]#,##0.00"/>
    <numFmt numFmtId="165" formatCode="0.0%"/>
    <numFmt numFmtId="166" formatCode="&quot;£&quot;#,##0.00;[Red]&quot;£&quot;#,##0.00"/>
    <numFmt numFmtId="167" formatCode="[$£-809]#,##0.00"/>
    <numFmt numFmtId="168" formatCode="&quot;£&quot;#,##0.00"/>
    <numFmt numFmtId="169" formatCode="_-* #,##0.00_-;\-* #,##0.00_-;_-* \-??_-;_-@_-"/>
    <numFmt numFmtId="170" formatCode="_(* #,##0.00_);_(* \(#,##0.00\);_(* &quot;-&quot;??_);_(@_)"/>
    <numFmt numFmtId="171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left" indent="1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3" fontId="7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/>
    <xf numFmtId="0" fontId="5" fillId="0" borderId="0" xfId="0" applyFont="1" applyFill="1" applyAlignment="1">
      <alignment horizontal="left" indent="1"/>
    </xf>
    <xf numFmtId="0" fontId="8" fillId="0" borderId="0" xfId="0" applyFont="1"/>
    <xf numFmtId="17" fontId="5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17" fontId="5" fillId="0" borderId="1" xfId="0" applyNumberFormat="1" applyFont="1" applyBorder="1" applyAlignment="1">
      <alignment horizontal="right"/>
    </xf>
    <xf numFmtId="0" fontId="6" fillId="3" borderId="1" xfId="0" applyFont="1" applyFill="1" applyBorder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/>
    <xf numFmtId="164" fontId="0" fillId="0" borderId="0" xfId="0" applyNumberFormat="1" applyFill="1"/>
    <xf numFmtId="164" fontId="0" fillId="0" borderId="0" xfId="0" applyNumberFormat="1"/>
    <xf numFmtId="9" fontId="0" fillId="0" borderId="0" xfId="0" applyNumberFormat="1"/>
    <xf numFmtId="164" fontId="0" fillId="2" borderId="0" xfId="0" applyNumberFormat="1" applyFill="1"/>
    <xf numFmtId="0" fontId="9" fillId="0" borderId="0" xfId="0" applyFont="1"/>
    <xf numFmtId="164" fontId="0" fillId="4" borderId="0" xfId="0" applyNumberFormat="1" applyFill="1"/>
    <xf numFmtId="164" fontId="0" fillId="0" borderId="0" xfId="0" applyNumberFormat="1" applyFill="1" applyAlignment="1">
      <alignment horizontal="left" indent="1"/>
    </xf>
    <xf numFmtId="164" fontId="0" fillId="2" borderId="0" xfId="0" applyNumberFormat="1" applyFill="1" applyAlignment="1">
      <alignment vertical="center"/>
    </xf>
    <xf numFmtId="164" fontId="0" fillId="3" borderId="0" xfId="0" applyNumberFormat="1" applyFill="1"/>
    <xf numFmtId="0" fontId="0" fillId="0" borderId="0" xfId="0" applyAlignment="1">
      <alignment horizontal="left" indent="1"/>
    </xf>
    <xf numFmtId="0" fontId="0" fillId="0" borderId="2" xfId="0" applyBorder="1"/>
    <xf numFmtId="164" fontId="0" fillId="0" borderId="3" xfId="0" applyNumberFormat="1" applyFill="1" applyBorder="1"/>
    <xf numFmtId="164" fontId="0" fillId="0" borderId="3" xfId="0" applyNumberFormat="1" applyBorder="1"/>
    <xf numFmtId="9" fontId="0" fillId="0" borderId="3" xfId="0" applyNumberFormat="1" applyBorder="1"/>
    <xf numFmtId="164" fontId="0" fillId="2" borderId="4" xfId="0" applyNumberFormat="1" applyFill="1" applyBorder="1"/>
    <xf numFmtId="164" fontId="0" fillId="3" borderId="5" xfId="0" applyNumberFormat="1" applyFill="1" applyBorder="1"/>
    <xf numFmtId="0" fontId="0" fillId="0" borderId="6" xfId="0" applyBorder="1" applyAlignment="1">
      <alignment horizontal="left" indent="1"/>
    </xf>
    <xf numFmtId="164" fontId="0" fillId="0" borderId="0" xfId="0" applyNumberFormat="1" applyFill="1" applyBorder="1"/>
    <xf numFmtId="164" fontId="0" fillId="0" borderId="0" xfId="0" applyNumberFormat="1" applyBorder="1"/>
    <xf numFmtId="164" fontId="0" fillId="6" borderId="0" xfId="0" applyNumberFormat="1" applyFill="1" applyBorder="1"/>
    <xf numFmtId="9" fontId="0" fillId="0" borderId="0" xfId="0" applyNumberFormat="1" applyBorder="1"/>
    <xf numFmtId="164" fontId="0" fillId="2" borderId="7" xfId="0" applyNumberFormat="1" applyFill="1" applyBorder="1"/>
    <xf numFmtId="164" fontId="0" fillId="4" borderId="8" xfId="0" applyNumberFormat="1" applyFill="1" applyBorder="1"/>
    <xf numFmtId="164" fontId="0" fillId="3" borderId="8" xfId="0" applyNumberFormat="1" applyFill="1" applyBorder="1"/>
    <xf numFmtId="0" fontId="0" fillId="0" borderId="9" xfId="0" applyBorder="1" applyAlignment="1">
      <alignment horizontal="left" indent="1"/>
    </xf>
    <xf numFmtId="164" fontId="0" fillId="0" borderId="1" xfId="0" applyNumberFormat="1" applyFill="1" applyBorder="1"/>
    <xf numFmtId="164" fontId="0" fillId="0" borderId="1" xfId="0" applyNumberFormat="1" applyBorder="1"/>
    <xf numFmtId="9" fontId="0" fillId="0" borderId="1" xfId="0" applyNumberFormat="1" applyBorder="1"/>
    <xf numFmtId="164" fontId="0" fillId="2" borderId="10" xfId="0" applyNumberFormat="1" applyFill="1" applyBorder="1"/>
    <xf numFmtId="164" fontId="0" fillId="4" borderId="11" xfId="0" applyNumberFormat="1" applyFill="1" applyBorder="1"/>
    <xf numFmtId="164" fontId="0" fillId="0" borderId="3" xfId="0" applyNumberFormat="1" applyBorder="1" applyAlignment="1">
      <alignment vertical="center"/>
    </xf>
    <xf numFmtId="9" fontId="0" fillId="0" borderId="3" xfId="0" applyNumberFormat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/>
    <xf numFmtId="164" fontId="0" fillId="2" borderId="10" xfId="0" applyNumberFormat="1" applyFill="1" applyBorder="1" applyAlignment="1">
      <alignment vertical="center"/>
    </xf>
    <xf numFmtId="0" fontId="11" fillId="0" borderId="0" xfId="0" applyFont="1"/>
    <xf numFmtId="164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Fill="1" applyBorder="1"/>
    <xf numFmtId="164" fontId="0" fillId="4" borderId="0" xfId="0" applyNumberFormat="1" applyFill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12" fillId="0" borderId="0" xfId="0" applyFont="1"/>
    <xf numFmtId="0" fontId="0" fillId="0" borderId="6" xfId="0" applyBorder="1"/>
    <xf numFmtId="0" fontId="0" fillId="0" borderId="3" xfId="0" applyBorder="1"/>
    <xf numFmtId="164" fontId="0" fillId="4" borderId="5" xfId="0" applyNumberFormat="1" applyFill="1" applyBorder="1" applyAlignment="1">
      <alignment vertical="center"/>
    </xf>
    <xf numFmtId="0" fontId="0" fillId="0" borderId="0" xfId="0" applyBorder="1"/>
    <xf numFmtId="164" fontId="0" fillId="4" borderId="8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0" fillId="4" borderId="11" xfId="0" applyNumberFormat="1" applyFill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164" fontId="0" fillId="0" borderId="0" xfId="0" applyNumberFormat="1" applyAlignment="1">
      <alignment horizontal="left"/>
    </xf>
    <xf numFmtId="164" fontId="0" fillId="0" borderId="1" xfId="0" applyNumberFormat="1" applyFill="1" applyBorder="1" applyAlignment="1">
      <alignment vertical="center"/>
    </xf>
    <xf numFmtId="164" fontId="0" fillId="3" borderId="11" xfId="0" applyNumberFormat="1" applyFill="1" applyBorder="1"/>
    <xf numFmtId="43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/>
    <xf numFmtId="164" fontId="2" fillId="2" borderId="0" xfId="0" applyNumberFormat="1" applyFont="1" applyFill="1"/>
    <xf numFmtId="0" fontId="2" fillId="0" borderId="0" xfId="0" applyFont="1"/>
    <xf numFmtId="164" fontId="2" fillId="4" borderId="0" xfId="0" applyNumberFormat="1" applyFont="1" applyFill="1"/>
    <xf numFmtId="164" fontId="2" fillId="0" borderId="0" xfId="0" applyNumberFormat="1" applyFont="1" applyFill="1" applyAlignment="1">
      <alignment horizontal="left" indent="1"/>
    </xf>
    <xf numFmtId="164" fontId="2" fillId="3" borderId="0" xfId="0" applyNumberFormat="1" applyFont="1" applyFill="1"/>
    <xf numFmtId="2" fontId="0" fillId="2" borderId="4" xfId="0" applyNumberFormat="1" applyFill="1" applyBorder="1"/>
    <xf numFmtId="2" fontId="0" fillId="3" borderId="0" xfId="0" applyNumberFormat="1" applyFill="1"/>
    <xf numFmtId="2" fontId="0" fillId="0" borderId="0" xfId="0" applyNumberFormat="1" applyFill="1" applyAlignment="1">
      <alignment horizontal="left" indent="1"/>
    </xf>
    <xf numFmtId="2" fontId="0" fillId="0" borderId="0" xfId="0" applyNumberFormat="1" applyFill="1"/>
    <xf numFmtId="43" fontId="2" fillId="0" borderId="6" xfId="0" applyNumberFormat="1" applyFont="1" applyBorder="1"/>
    <xf numFmtId="2" fontId="0" fillId="2" borderId="7" xfId="0" applyNumberFormat="1" applyFill="1" applyBorder="1"/>
    <xf numFmtId="43" fontId="13" fillId="0" borderId="9" xfId="0" applyNumberFormat="1" applyFont="1" applyBorder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9" fontId="13" fillId="0" borderId="1" xfId="0" applyNumberFormat="1" applyFont="1" applyBorder="1"/>
    <xf numFmtId="2" fontId="13" fillId="2" borderId="10" xfId="0" applyNumberFormat="1" applyFont="1" applyFill="1" applyBorder="1"/>
    <xf numFmtId="0" fontId="13" fillId="0" borderId="0" xfId="0" applyFont="1"/>
    <xf numFmtId="2" fontId="13" fillId="3" borderId="0" xfId="0" applyNumberFormat="1" applyFont="1" applyFill="1"/>
    <xf numFmtId="2" fontId="13" fillId="0" borderId="0" xfId="0" applyNumberFormat="1" applyFont="1" applyFill="1" applyAlignment="1">
      <alignment horizontal="left" indent="1"/>
    </xf>
    <xf numFmtId="2" fontId="13" fillId="0" borderId="0" xfId="0" applyNumberFormat="1" applyFont="1" applyFill="1"/>
    <xf numFmtId="43" fontId="2" fillId="0" borderId="0" xfId="0" applyNumberFormat="1" applyFont="1" applyBorder="1"/>
    <xf numFmtId="164" fontId="13" fillId="0" borderId="0" xfId="0" applyNumberFormat="1" applyFont="1" applyFill="1" applyBorder="1"/>
    <xf numFmtId="164" fontId="13" fillId="0" borderId="0" xfId="0" applyNumberFormat="1" applyFont="1" applyBorder="1"/>
    <xf numFmtId="9" fontId="13" fillId="0" borderId="0" xfId="0" applyNumberFormat="1" applyFont="1" applyBorder="1"/>
    <xf numFmtId="2" fontId="13" fillId="2" borderId="0" xfId="0" applyNumberFormat="1" applyFont="1" applyFill="1" applyBorder="1"/>
    <xf numFmtId="4" fontId="0" fillId="2" borderId="0" xfId="0" applyNumberFormat="1" applyFill="1"/>
    <xf numFmtId="4" fontId="0" fillId="4" borderId="0" xfId="0" applyNumberFormat="1" applyFill="1"/>
    <xf numFmtId="4" fontId="0" fillId="0" borderId="0" xfId="0" applyNumberFormat="1" applyFill="1"/>
    <xf numFmtId="4" fontId="0" fillId="3" borderId="0" xfId="0" applyNumberFormat="1" applyFill="1"/>
    <xf numFmtId="4" fontId="0" fillId="0" borderId="0" xfId="0" applyNumberFormat="1" applyFill="1" applyAlignment="1">
      <alignment horizontal="left" indent="1"/>
    </xf>
    <xf numFmtId="43" fontId="11" fillId="0" borderId="0" xfId="1" applyFont="1"/>
    <xf numFmtId="43" fontId="14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164" fontId="2" fillId="2" borderId="1" xfId="0" applyNumberFormat="1" applyFont="1" applyFill="1" applyBorder="1"/>
    <xf numFmtId="164" fontId="2" fillId="0" borderId="1" xfId="0" applyNumberFormat="1" applyFont="1" applyBorder="1" applyAlignment="1">
      <alignment horizontal="left" indent="1"/>
    </xf>
    <xf numFmtId="164" fontId="2" fillId="3" borderId="1" xfId="0" applyNumberFormat="1" applyFont="1" applyFill="1" applyBorder="1"/>
    <xf numFmtId="0" fontId="0" fillId="0" borderId="1" xfId="0" applyBorder="1" applyAlignment="1">
      <alignment horizontal="left" indent="1"/>
    </xf>
    <xf numFmtId="164" fontId="2" fillId="0" borderId="1" xfId="0" applyNumberFormat="1" applyFont="1" applyFill="1" applyBorder="1"/>
    <xf numFmtId="43" fontId="15" fillId="0" borderId="0" xfId="0" applyNumberFormat="1" applyFont="1"/>
    <xf numFmtId="164" fontId="0" fillId="0" borderId="3" xfId="0" applyNumberForma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left" indent="1"/>
    </xf>
    <xf numFmtId="0" fontId="0" fillId="0" borderId="0" xfId="0" applyAlignment="1">
      <alignment horizontal="right"/>
    </xf>
    <xf numFmtId="2" fontId="3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2" fontId="3" fillId="0" borderId="0" xfId="0" applyNumberFormat="1" applyFont="1" applyFill="1" applyAlignment="1">
      <alignment horizontal="right"/>
    </xf>
    <xf numFmtId="0" fontId="16" fillId="0" borderId="0" xfId="0" applyFont="1"/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64" fontId="17" fillId="2" borderId="12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left" indent="1"/>
    </xf>
    <xf numFmtId="0" fontId="19" fillId="0" borderId="0" xfId="0" applyFont="1" applyAlignment="1">
      <alignment horizontal="right"/>
    </xf>
    <xf numFmtId="164" fontId="17" fillId="4" borderId="12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0" fontId="20" fillId="0" borderId="0" xfId="0" applyFont="1"/>
    <xf numFmtId="2" fontId="0" fillId="0" borderId="0" xfId="0" applyNumberFormat="1"/>
    <xf numFmtId="10" fontId="0" fillId="0" borderId="0" xfId="0" applyNumberFormat="1"/>
    <xf numFmtId="10" fontId="0" fillId="0" borderId="0" xfId="0" applyNumberFormat="1" applyFill="1"/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0" fontId="3" fillId="2" borderId="0" xfId="2" applyNumberFormat="1" applyFont="1" applyFill="1"/>
    <xf numFmtId="165" fontId="3" fillId="0" borderId="0" xfId="2" applyNumberFormat="1" applyFont="1" applyAlignment="1">
      <alignment horizontal="left" indent="1"/>
    </xf>
    <xf numFmtId="10" fontId="3" fillId="5" borderId="0" xfId="0" applyNumberFormat="1" applyFont="1" applyFill="1"/>
    <xf numFmtId="10" fontId="3" fillId="0" borderId="0" xfId="0" applyNumberFormat="1" applyFont="1" applyFill="1"/>
    <xf numFmtId="2" fontId="0" fillId="2" borderId="0" xfId="0" applyNumberFormat="1" applyFill="1"/>
    <xf numFmtId="2" fontId="0" fillId="0" borderId="0" xfId="0" applyNumberFormat="1" applyAlignment="1">
      <alignment horizontal="left" indent="1"/>
    </xf>
    <xf numFmtId="8" fontId="3" fillId="0" borderId="0" xfId="0" applyNumberFormat="1" applyFont="1" applyFill="1" applyAlignment="1">
      <alignment horizontal="left"/>
    </xf>
    <xf numFmtId="8" fontId="3" fillId="0" borderId="0" xfId="0" applyNumberFormat="1" applyFont="1" applyFill="1" applyAlignment="1">
      <alignment horizontal="right"/>
    </xf>
    <xf numFmtId="165" fontId="1" fillId="2" borderId="0" xfId="2" applyNumberFormat="1" applyFill="1"/>
    <xf numFmtId="165" fontId="1" fillId="0" borderId="0" xfId="2" applyNumberFormat="1"/>
    <xf numFmtId="9" fontId="1" fillId="0" borderId="0" xfId="2"/>
    <xf numFmtId="9" fontId="1" fillId="0" borderId="0" xfId="2" applyFill="1"/>
    <xf numFmtId="166" fontId="0" fillId="2" borderId="0" xfId="0" applyNumberFormat="1" applyFill="1"/>
    <xf numFmtId="167" fontId="0" fillId="0" borderId="0" xfId="0" applyNumberFormat="1"/>
    <xf numFmtId="167" fontId="0" fillId="0" borderId="0" xfId="0" applyNumberFormat="1" applyAlignment="1">
      <alignment horizontal="left" indent="1"/>
    </xf>
    <xf numFmtId="167" fontId="0" fillId="0" borderId="0" xfId="0" applyNumberFormat="1" applyFill="1"/>
    <xf numFmtId="0" fontId="0" fillId="0" borderId="0" xfId="0" applyAlignment="1">
      <alignment horizontal="right" indent="1"/>
    </xf>
    <xf numFmtId="168" fontId="0" fillId="2" borderId="0" xfId="0" applyNumberFormat="1" applyFill="1"/>
    <xf numFmtId="0" fontId="0" fillId="2" borderId="0" xfId="0" applyFill="1"/>
    <xf numFmtId="9" fontId="2" fillId="0" borderId="0" xfId="0" applyNumberFormat="1" applyFont="1"/>
    <xf numFmtId="43" fontId="0" fillId="0" borderId="0" xfId="0" applyNumberFormat="1"/>
    <xf numFmtId="9" fontId="1" fillId="0" borderId="0" xfId="2" applyNumberFormat="1"/>
    <xf numFmtId="170" fontId="0" fillId="0" borderId="0" xfId="0" applyNumberFormat="1"/>
    <xf numFmtId="170" fontId="0" fillId="0" borderId="0" xfId="0" applyNumberFormat="1" applyFill="1"/>
    <xf numFmtId="170" fontId="10" fillId="0" borderId="0" xfId="0" applyNumberFormat="1" applyFont="1"/>
    <xf numFmtId="170" fontId="10" fillId="0" borderId="0" xfId="0" applyNumberFormat="1" applyFont="1" applyFill="1"/>
    <xf numFmtId="170" fontId="0" fillId="0" borderId="0" xfId="0" applyNumberFormat="1" applyFill="1" applyAlignment="1">
      <alignment horizontal="left" indent="1"/>
    </xf>
    <xf numFmtId="170" fontId="2" fillId="0" borderId="0" xfId="0" applyNumberFormat="1" applyFont="1" applyFill="1"/>
    <xf numFmtId="170" fontId="13" fillId="0" borderId="0" xfId="0" applyNumberFormat="1" applyFont="1" applyFill="1"/>
    <xf numFmtId="170" fontId="2" fillId="0" borderId="1" xfId="0" applyNumberFormat="1" applyFont="1" applyBorder="1"/>
    <xf numFmtId="170" fontId="0" fillId="0" borderId="0" xfId="0" applyNumberFormat="1" applyAlignment="1">
      <alignment horizontal="right"/>
    </xf>
    <xf numFmtId="170" fontId="3" fillId="0" borderId="0" xfId="0" applyNumberFormat="1" applyFont="1" applyAlignment="1">
      <alignment horizontal="right"/>
    </xf>
    <xf numFmtId="170" fontId="3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0" fillId="2" borderId="0" xfId="0" applyNumberFormat="1" applyFill="1" applyAlignment="1">
      <alignment vertical="center"/>
    </xf>
    <xf numFmtId="164" fontId="0" fillId="4" borderId="0" xfId="0" applyNumberFormat="1" applyFill="1" applyAlignment="1">
      <alignment vertical="center"/>
    </xf>
  </cellXfs>
  <cellStyles count="24">
    <cellStyle name="Comma" xfId="1" builtinId="3"/>
    <cellStyle name="Comma 2" xfId="3"/>
    <cellStyle name="Comma 2 2" xfId="4"/>
    <cellStyle name="Comma 3" xfId="5"/>
    <cellStyle name="Comma 3 2" xfId="6"/>
    <cellStyle name="Currency 2" xfId="7"/>
    <cellStyle name="Currency 2 2" xfId="8"/>
    <cellStyle name="Currency 3" xfId="9"/>
    <cellStyle name="Currency 4" xfId="10"/>
    <cellStyle name="Excel Built-in Normal 1" xfId="11"/>
    <cellStyle name="Normal" xfId="0" builtinId="0"/>
    <cellStyle name="Normal 10" xfId="12"/>
    <cellStyle name="Normal 2" xfId="13"/>
    <cellStyle name="Normal 2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Percent" xfId="2" builtinId="5"/>
    <cellStyle name="Percent 2" xfId="22"/>
    <cellStyle name="Percent 3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5"/>
  <sheetViews>
    <sheetView tabSelected="1" view="pageBreakPreview" zoomScale="90" zoomScaleNormal="80" zoomScaleSheetLayoutView="90" workbookViewId="0">
      <pane xSplit="1" ySplit="3" topLeftCell="B76" activePane="bottomRight" state="frozen"/>
      <selection activeCell="P81" sqref="P81"/>
      <selection pane="topRight" activeCell="P81" sqref="P81"/>
      <selection pane="bottomLeft" activeCell="P81" sqref="P81"/>
      <selection pane="bottomRight" activeCell="I98" sqref="I98"/>
    </sheetView>
  </sheetViews>
  <sheetFormatPr defaultColWidth="9.140625" defaultRowHeight="15"/>
  <cols>
    <col min="1" max="1" width="38.42578125" customWidth="1"/>
    <col min="2" max="2" width="16.28515625" style="62" bestFit="1" customWidth="1"/>
    <col min="3" max="3" width="15.7109375" customWidth="1"/>
    <col min="4" max="4" width="15.7109375" style="28" customWidth="1"/>
    <col min="5" max="7" width="15.7109375" customWidth="1"/>
    <col min="8" max="8" width="8.42578125" customWidth="1"/>
    <col min="9" max="9" width="16.28515625" style="172" bestFit="1" customWidth="1"/>
    <col min="10" max="10" width="22.5703125" style="36" hidden="1" customWidth="1"/>
    <col min="11" max="11" width="2.7109375" customWidth="1"/>
    <col min="12" max="12" width="21.85546875" customWidth="1"/>
    <col min="13" max="13" width="17.140625" bestFit="1" customWidth="1"/>
    <col min="14" max="14" width="39.28515625" style="36" customWidth="1"/>
    <col min="15" max="15" width="17.140625" bestFit="1" customWidth="1"/>
    <col min="16" max="16" width="9.28515625" style="62" customWidth="1"/>
    <col min="17" max="17" width="17.140625" bestFit="1" customWidth="1"/>
    <col min="18" max="18" width="2.7109375" customWidth="1"/>
  </cols>
  <sheetData>
    <row r="1" spans="1:17" s="1" customFormat="1" ht="21" customHeight="1">
      <c r="B1" s="2"/>
      <c r="C1" s="3" t="s">
        <v>0</v>
      </c>
      <c r="D1" s="4" t="s">
        <v>1</v>
      </c>
      <c r="E1" s="5"/>
      <c r="F1" s="5" t="s">
        <v>2</v>
      </c>
      <c r="G1" s="5" t="s">
        <v>3</v>
      </c>
      <c r="H1" s="187" t="s">
        <v>4</v>
      </c>
      <c r="I1" s="6" t="s">
        <v>5</v>
      </c>
      <c r="J1" s="7"/>
      <c r="L1" s="3" t="s">
        <v>0</v>
      </c>
      <c r="M1" s="8" t="s">
        <v>5</v>
      </c>
      <c r="N1" s="7"/>
      <c r="O1" s="8" t="s">
        <v>5</v>
      </c>
      <c r="P1" s="9"/>
      <c r="Q1" s="8" t="s">
        <v>5</v>
      </c>
    </row>
    <row r="2" spans="1:17" ht="21">
      <c r="A2" s="10" t="s">
        <v>6</v>
      </c>
      <c r="B2" s="2" t="s">
        <v>7</v>
      </c>
      <c r="C2" s="3" t="s">
        <v>8</v>
      </c>
      <c r="D2" s="11" t="s">
        <v>9</v>
      </c>
      <c r="E2" s="12" t="s">
        <v>2</v>
      </c>
      <c r="F2" s="12" t="s">
        <v>10</v>
      </c>
      <c r="G2" s="12" t="s">
        <v>11</v>
      </c>
      <c r="H2" s="187"/>
      <c r="I2" s="6" t="s">
        <v>12</v>
      </c>
      <c r="J2" s="13" t="s">
        <v>13</v>
      </c>
      <c r="K2" s="14"/>
      <c r="L2" s="3" t="s">
        <v>14</v>
      </c>
      <c r="M2" s="8" t="s">
        <v>15</v>
      </c>
      <c r="N2" s="15"/>
      <c r="O2" s="8" t="s">
        <v>16</v>
      </c>
      <c r="P2" s="9"/>
      <c r="Q2" s="8" t="s">
        <v>17</v>
      </c>
    </row>
    <row r="3" spans="1:17" ht="21">
      <c r="A3" s="16" t="s">
        <v>18</v>
      </c>
      <c r="B3" s="17" t="s">
        <v>19</v>
      </c>
      <c r="C3" s="17">
        <v>44256</v>
      </c>
      <c r="D3" s="18" t="s">
        <v>20</v>
      </c>
      <c r="E3" s="19" t="s">
        <v>21</v>
      </c>
      <c r="F3" s="20"/>
      <c r="G3" s="20"/>
      <c r="H3" s="188"/>
      <c r="I3" s="21" t="s">
        <v>22</v>
      </c>
      <c r="J3" s="22"/>
      <c r="K3" s="14"/>
      <c r="L3" s="23">
        <v>44621</v>
      </c>
      <c r="M3" s="24"/>
      <c r="N3" s="25"/>
      <c r="O3" s="24"/>
      <c r="P3" s="26"/>
      <c r="Q3" s="24"/>
    </row>
    <row r="4" spans="1:17">
      <c r="A4" t="s">
        <v>23</v>
      </c>
      <c r="B4" s="27"/>
      <c r="C4" s="28"/>
      <c r="D4" s="27"/>
      <c r="E4" s="27"/>
      <c r="F4" s="28">
        <f t="shared" ref="F4:F9" si="0">E4+D4</f>
        <v>0</v>
      </c>
      <c r="G4" s="28">
        <f t="shared" ref="G4:G9" si="1">I4-F4</f>
        <v>50</v>
      </c>
      <c r="H4" s="29">
        <f t="shared" ref="H4:H9" si="2">F4/I4</f>
        <v>0</v>
      </c>
      <c r="I4" s="30">
        <v>50</v>
      </c>
      <c r="J4" s="31"/>
      <c r="L4" s="176"/>
      <c r="M4" s="32"/>
      <c r="N4" s="33"/>
      <c r="O4" s="32"/>
      <c r="P4" s="27"/>
      <c r="Q4" s="32"/>
    </row>
    <row r="5" spans="1:17">
      <c r="A5" t="s">
        <v>24</v>
      </c>
      <c r="B5" s="27">
        <v>6.28</v>
      </c>
      <c r="C5" s="28"/>
      <c r="D5" s="27"/>
      <c r="E5" s="27"/>
      <c r="F5" s="28">
        <f t="shared" si="0"/>
        <v>0</v>
      </c>
      <c r="G5" s="28">
        <f t="shared" si="1"/>
        <v>50</v>
      </c>
      <c r="H5" s="29">
        <f t="shared" si="2"/>
        <v>0</v>
      </c>
      <c r="I5" s="30">
        <v>50</v>
      </c>
      <c r="J5"/>
      <c r="L5" s="176"/>
      <c r="M5" s="32"/>
      <c r="N5" s="33"/>
      <c r="O5" s="32"/>
      <c r="P5" s="27"/>
      <c r="Q5" s="32"/>
    </row>
    <row r="6" spans="1:17">
      <c r="A6" t="s">
        <v>25</v>
      </c>
      <c r="B6" s="27">
        <v>5400.04</v>
      </c>
      <c r="C6" s="28"/>
      <c r="D6" s="27">
        <v>3181.5</v>
      </c>
      <c r="E6" s="27">
        <f>D6/7*5</f>
        <v>2272.5</v>
      </c>
      <c r="F6" s="28">
        <f t="shared" si="0"/>
        <v>5454</v>
      </c>
      <c r="G6" s="28">
        <f t="shared" si="1"/>
        <v>46</v>
      </c>
      <c r="H6" s="29">
        <f t="shared" si="2"/>
        <v>0.99163636363636365</v>
      </c>
      <c r="I6" s="30">
        <v>5500</v>
      </c>
      <c r="J6"/>
      <c r="L6" s="176"/>
      <c r="M6" s="32">
        <v>5700</v>
      </c>
      <c r="N6" s="33"/>
      <c r="O6" s="32">
        <v>5800</v>
      </c>
      <c r="P6" s="27"/>
      <c r="Q6" s="32">
        <v>5900</v>
      </c>
    </row>
    <row r="7" spans="1:17">
      <c r="A7" t="s">
        <v>26</v>
      </c>
      <c r="B7" s="27">
        <v>230</v>
      </c>
      <c r="C7" s="28"/>
      <c r="D7" s="27"/>
      <c r="E7" s="27"/>
      <c r="F7" s="28">
        <f t="shared" si="0"/>
        <v>0</v>
      </c>
      <c r="G7" s="28">
        <f t="shared" si="1"/>
        <v>0</v>
      </c>
      <c r="H7" s="29" t="e">
        <f t="shared" si="2"/>
        <v>#DIV/0!</v>
      </c>
      <c r="I7" s="34"/>
      <c r="J7"/>
      <c r="L7" s="176"/>
      <c r="M7" s="35"/>
      <c r="N7" s="33"/>
      <c r="O7" s="35"/>
      <c r="P7" s="27"/>
      <c r="Q7" s="35"/>
    </row>
    <row r="8" spans="1:17">
      <c r="A8" t="s">
        <v>27</v>
      </c>
      <c r="B8" s="27">
        <v>1071.8</v>
      </c>
      <c r="C8" s="28"/>
      <c r="D8" s="27">
        <v>897.93</v>
      </c>
      <c r="E8" s="27">
        <v>600</v>
      </c>
      <c r="F8" s="28">
        <f t="shared" si="0"/>
        <v>1497.9299999999998</v>
      </c>
      <c r="G8" s="28">
        <f t="shared" si="1"/>
        <v>2.0700000000001637</v>
      </c>
      <c r="H8" s="29">
        <f t="shared" si="2"/>
        <v>0.99861999999999984</v>
      </c>
      <c r="I8" s="34">
        <v>1500</v>
      </c>
      <c r="J8" s="33" t="s">
        <v>28</v>
      </c>
      <c r="L8" s="176"/>
      <c r="M8" s="32">
        <v>1600</v>
      </c>
      <c r="O8" s="32">
        <v>1600</v>
      </c>
      <c r="P8" s="27"/>
      <c r="Q8" s="32">
        <v>1650</v>
      </c>
    </row>
    <row r="9" spans="1:17">
      <c r="A9" t="s">
        <v>29</v>
      </c>
      <c r="B9" s="27"/>
      <c r="C9" s="27"/>
      <c r="D9" s="27"/>
      <c r="E9" s="27"/>
      <c r="F9" s="28">
        <f t="shared" si="0"/>
        <v>0</v>
      </c>
      <c r="G9" s="28">
        <f t="shared" si="1"/>
        <v>0</v>
      </c>
      <c r="H9" s="29" t="e">
        <f t="shared" si="2"/>
        <v>#DIV/0!</v>
      </c>
      <c r="I9" s="30"/>
      <c r="J9" s="31"/>
      <c r="L9" s="177"/>
      <c r="M9" s="35"/>
      <c r="N9" s="33"/>
      <c r="O9" s="35"/>
      <c r="P9" s="27"/>
      <c r="Q9" s="35"/>
    </row>
    <row r="10" spans="1:17">
      <c r="A10" s="37" t="s">
        <v>30</v>
      </c>
      <c r="B10" s="38">
        <v>32</v>
      </c>
      <c r="C10" s="39"/>
      <c r="D10" s="38"/>
      <c r="E10" s="38"/>
      <c r="F10" s="39"/>
      <c r="G10" s="39"/>
      <c r="H10" s="40"/>
      <c r="I10" s="41"/>
      <c r="J10"/>
      <c r="L10" s="176"/>
      <c r="M10" s="42"/>
      <c r="N10" s="33"/>
      <c r="O10" s="42"/>
      <c r="P10" s="27"/>
      <c r="Q10" s="42"/>
    </row>
    <row r="11" spans="1:17">
      <c r="A11" s="43" t="s">
        <v>31</v>
      </c>
      <c r="B11" s="44">
        <v>1791.97</v>
      </c>
      <c r="C11" s="45"/>
      <c r="D11" s="44"/>
      <c r="E11" s="46">
        <v>1900</v>
      </c>
      <c r="F11" s="45">
        <f>E11+D11</f>
        <v>1900</v>
      </c>
      <c r="G11" s="45">
        <f>I11-F11</f>
        <v>100</v>
      </c>
      <c r="H11" s="47">
        <f>F11/I11</f>
        <v>0.95</v>
      </c>
      <c r="I11" s="48">
        <v>2000</v>
      </c>
      <c r="J11" s="28"/>
      <c r="L11" s="176"/>
      <c r="M11" s="49">
        <v>2500</v>
      </c>
      <c r="N11" s="33"/>
      <c r="O11" s="49">
        <v>2200</v>
      </c>
      <c r="P11" s="27"/>
      <c r="Q11" s="49">
        <v>2400</v>
      </c>
    </row>
    <row r="12" spans="1:17">
      <c r="A12" s="43" t="s">
        <v>32</v>
      </c>
      <c r="B12" s="44">
        <v>1123</v>
      </c>
      <c r="C12" s="45"/>
      <c r="D12" s="44"/>
      <c r="E12" s="44"/>
      <c r="F12" s="45">
        <f>E12+D12</f>
        <v>0</v>
      </c>
      <c r="G12" s="45">
        <f>I12-F12</f>
        <v>0</v>
      </c>
      <c r="H12" s="47" t="e">
        <f>F12/I12</f>
        <v>#DIV/0!</v>
      </c>
      <c r="I12" s="48"/>
      <c r="J12"/>
      <c r="L12" s="176"/>
      <c r="M12" s="50"/>
      <c r="N12" s="33"/>
      <c r="O12" s="50"/>
      <c r="P12" s="27"/>
      <c r="Q12" s="50"/>
    </row>
    <row r="13" spans="1:17">
      <c r="A13" s="43" t="s">
        <v>33</v>
      </c>
      <c r="B13" s="44">
        <v>63</v>
      </c>
      <c r="C13" s="45"/>
      <c r="D13" s="44">
        <v>663.5</v>
      </c>
      <c r="E13" s="44"/>
      <c r="F13" s="45">
        <f>E13+D13</f>
        <v>663.5</v>
      </c>
      <c r="G13" s="45">
        <f>I13-F13</f>
        <v>136.5</v>
      </c>
      <c r="H13" s="47">
        <f>F13/I13</f>
        <v>0.82937499999999997</v>
      </c>
      <c r="I13" s="48">
        <v>800</v>
      </c>
      <c r="J13"/>
      <c r="L13" s="176"/>
      <c r="M13" s="49">
        <v>800</v>
      </c>
      <c r="N13" s="33"/>
      <c r="O13" s="49">
        <v>800</v>
      </c>
      <c r="P13" s="27"/>
      <c r="Q13" s="49">
        <v>800</v>
      </c>
    </row>
    <row r="14" spans="1:17">
      <c r="A14" s="43" t="s">
        <v>34</v>
      </c>
      <c r="B14" s="44">
        <v>18</v>
      </c>
      <c r="C14" s="45"/>
      <c r="D14" s="44">
        <v>18</v>
      </c>
      <c r="E14" s="44">
        <v>18</v>
      </c>
      <c r="F14" s="45">
        <f>E14+D14</f>
        <v>36</v>
      </c>
      <c r="G14" s="45">
        <f>I14-F14</f>
        <v>14</v>
      </c>
      <c r="H14" s="47">
        <f>F14/I14</f>
        <v>0.72</v>
      </c>
      <c r="I14" s="48">
        <v>50</v>
      </c>
      <c r="J14"/>
      <c r="L14" s="176"/>
      <c r="M14" s="49"/>
      <c r="N14" s="33"/>
      <c r="O14" s="49"/>
      <c r="P14" s="27"/>
      <c r="Q14" s="49"/>
    </row>
    <row r="15" spans="1:17">
      <c r="A15" s="51" t="s">
        <v>35</v>
      </c>
      <c r="B15" s="52">
        <v>651</v>
      </c>
      <c r="C15" s="53"/>
      <c r="D15" s="52">
        <v>475</v>
      </c>
      <c r="E15" s="52">
        <v>100</v>
      </c>
      <c r="F15" s="53">
        <f>E15+D15</f>
        <v>575</v>
      </c>
      <c r="G15" s="53">
        <f>I15-F15</f>
        <v>175</v>
      </c>
      <c r="H15" s="54">
        <f>F15/I15</f>
        <v>0.76666666666666672</v>
      </c>
      <c r="I15" s="55">
        <v>750</v>
      </c>
      <c r="J15"/>
      <c r="L15" s="178"/>
      <c r="M15" s="56">
        <v>750</v>
      </c>
      <c r="N15" s="33"/>
      <c r="O15" s="56">
        <v>750</v>
      </c>
      <c r="P15" s="27"/>
      <c r="Q15" s="56">
        <v>750</v>
      </c>
    </row>
    <row r="16" spans="1:17">
      <c r="A16" s="37" t="s">
        <v>36</v>
      </c>
      <c r="B16" s="38"/>
      <c r="C16" s="39"/>
      <c r="D16" s="38"/>
      <c r="E16" s="38"/>
      <c r="F16" s="57"/>
      <c r="G16" s="57"/>
      <c r="H16" s="58"/>
      <c r="I16" s="59"/>
      <c r="J16"/>
      <c r="L16" s="176"/>
      <c r="M16" s="42"/>
      <c r="N16" s="33"/>
      <c r="O16" s="42"/>
      <c r="P16" s="27"/>
      <c r="Q16" s="42"/>
    </row>
    <row r="17" spans="1:17">
      <c r="A17" s="43" t="s">
        <v>37</v>
      </c>
      <c r="B17" s="44">
        <v>191.46</v>
      </c>
      <c r="C17" s="45"/>
      <c r="D17" s="44">
        <v>142.19999999999999</v>
      </c>
      <c r="E17" s="44">
        <f>D17/7*5</f>
        <v>101.57142857142857</v>
      </c>
      <c r="F17" s="45">
        <f t="shared" ref="F17:F28" si="3">E17+D17</f>
        <v>243.77142857142854</v>
      </c>
      <c r="G17" s="45">
        <f t="shared" ref="G17:G28" si="4">I17-F17</f>
        <v>156.22857142857146</v>
      </c>
      <c r="H17" s="47">
        <f t="shared" ref="H17:H28" si="5">F17/I17</f>
        <v>0.60942857142857132</v>
      </c>
      <c r="I17" s="60">
        <v>400</v>
      </c>
      <c r="J17" s="28"/>
      <c r="L17" s="178"/>
      <c r="M17" s="49">
        <v>450</v>
      </c>
      <c r="N17" s="33"/>
      <c r="O17" s="49">
        <v>450</v>
      </c>
      <c r="P17" s="27"/>
      <c r="Q17" s="49">
        <v>450</v>
      </c>
    </row>
    <row r="18" spans="1:17">
      <c r="A18" s="43" t="s">
        <v>38</v>
      </c>
      <c r="B18" s="44">
        <v>76.81</v>
      </c>
      <c r="C18" s="45"/>
      <c r="D18" s="44">
        <v>36.159999999999997</v>
      </c>
      <c r="E18" s="44">
        <v>100</v>
      </c>
      <c r="F18" s="45">
        <f t="shared" si="3"/>
        <v>136.16</v>
      </c>
      <c r="G18" s="45">
        <f t="shared" si="4"/>
        <v>463.84000000000003</v>
      </c>
      <c r="H18" s="47">
        <f t="shared" si="5"/>
        <v>0.22693333333333332</v>
      </c>
      <c r="I18" s="60">
        <v>600</v>
      </c>
      <c r="J18"/>
      <c r="L18" s="178"/>
      <c r="M18" s="49">
        <v>400</v>
      </c>
      <c r="N18" s="33"/>
      <c r="O18" s="49">
        <v>400</v>
      </c>
      <c r="P18" s="27"/>
      <c r="Q18" s="49">
        <v>400</v>
      </c>
    </row>
    <row r="19" spans="1:17">
      <c r="A19" s="43" t="s">
        <v>39</v>
      </c>
      <c r="B19" s="44">
        <v>84</v>
      </c>
      <c r="C19" s="45"/>
      <c r="D19" s="44">
        <v>49</v>
      </c>
      <c r="E19" s="44">
        <f>7*5</f>
        <v>35</v>
      </c>
      <c r="F19" s="45">
        <f t="shared" si="3"/>
        <v>84</v>
      </c>
      <c r="G19" s="45">
        <f t="shared" si="4"/>
        <v>16</v>
      </c>
      <c r="H19" s="47">
        <f t="shared" si="5"/>
        <v>0.84</v>
      </c>
      <c r="I19" s="60">
        <v>100</v>
      </c>
      <c r="J19"/>
      <c r="L19" s="176"/>
      <c r="M19" s="49"/>
      <c r="N19" s="33" t="s">
        <v>122</v>
      </c>
      <c r="O19" s="49"/>
      <c r="P19" s="27"/>
      <c r="Q19" s="49"/>
    </row>
    <row r="20" spans="1:17">
      <c r="A20" s="43" t="s">
        <v>40</v>
      </c>
      <c r="B20" s="61">
        <v>131.38</v>
      </c>
      <c r="C20" s="45"/>
      <c r="D20" s="44">
        <v>129.79</v>
      </c>
      <c r="E20" s="44">
        <f>D20/7*5</f>
        <v>92.707142857142856</v>
      </c>
      <c r="F20" s="45">
        <f t="shared" si="3"/>
        <v>222.49714285714285</v>
      </c>
      <c r="G20" s="45">
        <f t="shared" si="4"/>
        <v>177.50285714285715</v>
      </c>
      <c r="H20" s="47">
        <f t="shared" si="5"/>
        <v>0.55624285714285715</v>
      </c>
      <c r="I20" s="60">
        <v>400</v>
      </c>
      <c r="J20"/>
      <c r="L20" s="176"/>
      <c r="M20" s="49">
        <v>400</v>
      </c>
      <c r="N20" s="33"/>
      <c r="O20" s="49">
        <v>400</v>
      </c>
      <c r="P20" s="27"/>
      <c r="Q20" s="49">
        <v>400</v>
      </c>
    </row>
    <row r="21" spans="1:17">
      <c r="A21" s="43" t="s">
        <v>41</v>
      </c>
      <c r="B21" s="61">
        <v>82.2</v>
      </c>
      <c r="C21" s="45"/>
      <c r="D21" s="44">
        <v>101.06</v>
      </c>
      <c r="E21" s="44"/>
      <c r="F21" s="45">
        <f t="shared" si="3"/>
        <v>101.06</v>
      </c>
      <c r="G21" s="45">
        <f t="shared" si="4"/>
        <v>-1.0600000000000023</v>
      </c>
      <c r="H21" s="47">
        <f t="shared" si="5"/>
        <v>1.0105999999999999</v>
      </c>
      <c r="I21" s="60">
        <v>100</v>
      </c>
      <c r="J21"/>
      <c r="L21" s="176"/>
      <c r="M21" s="49">
        <v>130</v>
      </c>
      <c r="N21" s="33"/>
      <c r="O21" s="49">
        <v>150</v>
      </c>
      <c r="P21" s="27"/>
      <c r="Q21" s="49">
        <v>150</v>
      </c>
    </row>
    <row r="22" spans="1:17">
      <c r="A22" s="43" t="s">
        <v>42</v>
      </c>
      <c r="B22" s="61">
        <v>286.01</v>
      </c>
      <c r="C22" s="45"/>
      <c r="D22" s="44">
        <v>255.4</v>
      </c>
      <c r="E22" s="44">
        <f>D22/7*5</f>
        <v>182.42857142857144</v>
      </c>
      <c r="F22" s="45">
        <f t="shared" si="3"/>
        <v>437.82857142857142</v>
      </c>
      <c r="G22" s="45">
        <f t="shared" si="4"/>
        <v>-37.828571428571422</v>
      </c>
      <c r="H22" s="47">
        <f t="shared" si="5"/>
        <v>1.0945714285714285</v>
      </c>
      <c r="I22" s="60">
        <v>400</v>
      </c>
      <c r="J22" s="28"/>
      <c r="L22" s="176"/>
      <c r="M22" s="49">
        <v>400</v>
      </c>
      <c r="N22" s="33"/>
      <c r="O22" s="49">
        <v>400</v>
      </c>
      <c r="P22" s="27"/>
      <c r="Q22" s="49">
        <v>400</v>
      </c>
    </row>
    <row r="23" spans="1:17">
      <c r="A23" s="43" t="s">
        <v>43</v>
      </c>
      <c r="B23" s="44">
        <v>384.04</v>
      </c>
      <c r="C23" s="45"/>
      <c r="D23" s="44">
        <v>258.98</v>
      </c>
      <c r="E23" s="44">
        <f>D23/8*4</f>
        <v>129.49</v>
      </c>
      <c r="F23" s="45">
        <f t="shared" si="3"/>
        <v>388.47</v>
      </c>
      <c r="G23" s="45">
        <f t="shared" si="4"/>
        <v>61.529999999999973</v>
      </c>
      <c r="H23" s="47">
        <f t="shared" si="5"/>
        <v>0.86326666666666674</v>
      </c>
      <c r="I23" s="60">
        <v>450</v>
      </c>
      <c r="J23"/>
      <c r="L23" s="176"/>
      <c r="M23" s="49">
        <v>400</v>
      </c>
      <c r="N23" s="33"/>
      <c r="O23" s="49">
        <v>400</v>
      </c>
      <c r="P23" s="27"/>
      <c r="Q23" s="49">
        <v>400</v>
      </c>
    </row>
    <row r="24" spans="1:17">
      <c r="A24" s="43" t="s">
        <v>44</v>
      </c>
      <c r="B24" s="44">
        <v>383.39</v>
      </c>
      <c r="C24" s="45"/>
      <c r="D24" s="44">
        <v>228.09</v>
      </c>
      <c r="E24" s="44">
        <f>D24/7*5</f>
        <v>162.92142857142858</v>
      </c>
      <c r="F24" s="45">
        <f t="shared" si="3"/>
        <v>391.01142857142861</v>
      </c>
      <c r="G24" s="45">
        <f t="shared" si="4"/>
        <v>8.9885714285713902</v>
      </c>
      <c r="H24" s="47">
        <f t="shared" si="5"/>
        <v>0.97752857142857152</v>
      </c>
      <c r="I24" s="60">
        <v>400</v>
      </c>
      <c r="J24"/>
      <c r="L24" s="176"/>
      <c r="M24" s="49">
        <v>400</v>
      </c>
      <c r="N24" s="33"/>
      <c r="O24" s="49">
        <v>400</v>
      </c>
      <c r="P24" s="27"/>
      <c r="Q24" s="49">
        <v>400</v>
      </c>
    </row>
    <row r="25" spans="1:17">
      <c r="A25" s="43" t="s">
        <v>45</v>
      </c>
      <c r="B25" s="44">
        <v>1358.82</v>
      </c>
      <c r="C25" s="45"/>
      <c r="D25" s="44">
        <v>254.91</v>
      </c>
      <c r="E25" s="44">
        <v>600</v>
      </c>
      <c r="F25" s="45">
        <f t="shared" si="3"/>
        <v>854.91</v>
      </c>
      <c r="G25" s="45">
        <f t="shared" si="4"/>
        <v>45.090000000000032</v>
      </c>
      <c r="H25" s="47">
        <f t="shared" si="5"/>
        <v>0.94989999999999997</v>
      </c>
      <c r="I25" s="60">
        <v>900</v>
      </c>
      <c r="J25"/>
      <c r="L25" s="176"/>
      <c r="M25" s="49">
        <v>950</v>
      </c>
      <c r="N25" s="33"/>
      <c r="O25" s="49">
        <v>1450</v>
      </c>
      <c r="Q25" s="49">
        <v>1500</v>
      </c>
    </row>
    <row r="26" spans="1:17">
      <c r="A26" s="43" t="s">
        <v>46</v>
      </c>
      <c r="B26" s="44"/>
      <c r="C26" s="45"/>
      <c r="D26" s="44"/>
      <c r="E26" s="44"/>
      <c r="F26" s="45"/>
      <c r="G26" s="45"/>
      <c r="H26" s="47"/>
      <c r="I26" s="60"/>
      <c r="J26"/>
      <c r="L26" s="176"/>
      <c r="M26" s="49">
        <v>150</v>
      </c>
      <c r="N26" s="33"/>
      <c r="O26" s="49">
        <v>150</v>
      </c>
      <c r="Q26" s="49">
        <v>150</v>
      </c>
    </row>
    <row r="27" spans="1:17">
      <c r="A27" s="51" t="s">
        <v>47</v>
      </c>
      <c r="B27" s="52">
        <v>500.04</v>
      </c>
      <c r="C27" s="53"/>
      <c r="D27" s="52">
        <v>291.69</v>
      </c>
      <c r="E27" s="52">
        <f>D27/7*5</f>
        <v>208.35000000000002</v>
      </c>
      <c r="F27" s="53">
        <f t="shared" si="3"/>
        <v>500.04</v>
      </c>
      <c r="G27" s="53">
        <f t="shared" si="4"/>
        <v>399.96</v>
      </c>
      <c r="H27" s="54">
        <f t="shared" si="5"/>
        <v>0.55559999999999998</v>
      </c>
      <c r="I27" s="63">
        <v>900</v>
      </c>
      <c r="J27"/>
      <c r="L27" s="176"/>
      <c r="M27" s="56">
        <v>600</v>
      </c>
      <c r="N27" s="33"/>
      <c r="O27" s="56">
        <v>650</v>
      </c>
      <c r="P27" s="27"/>
      <c r="Q27" s="56">
        <v>700</v>
      </c>
    </row>
    <row r="28" spans="1:17">
      <c r="A28" t="s">
        <v>48</v>
      </c>
      <c r="B28" s="27">
        <v>21</v>
      </c>
      <c r="C28" s="28"/>
      <c r="D28" s="27">
        <v>257.25</v>
      </c>
      <c r="E28" s="44">
        <f>D28/7*5</f>
        <v>183.75</v>
      </c>
      <c r="F28" s="28">
        <f t="shared" si="3"/>
        <v>441</v>
      </c>
      <c r="G28" s="28">
        <f t="shared" si="4"/>
        <v>-41</v>
      </c>
      <c r="H28" s="29">
        <f t="shared" si="5"/>
        <v>1.1025</v>
      </c>
      <c r="I28" s="34">
        <v>400</v>
      </c>
      <c r="J28" s="64"/>
      <c r="L28" s="176"/>
      <c r="M28" s="32">
        <v>800</v>
      </c>
      <c r="N28" s="33"/>
      <c r="O28" s="32">
        <v>800</v>
      </c>
      <c r="P28" s="27"/>
      <c r="Q28" s="32">
        <v>800</v>
      </c>
    </row>
    <row r="29" spans="1:17" hidden="1">
      <c r="A29" t="s">
        <v>49</v>
      </c>
      <c r="B29" s="27"/>
      <c r="C29" s="28"/>
      <c r="D29" s="27"/>
      <c r="E29" s="27"/>
      <c r="F29" s="65"/>
      <c r="G29" s="65"/>
      <c r="H29" s="66"/>
      <c r="I29" s="34"/>
      <c r="J29" s="31" t="s">
        <v>50</v>
      </c>
      <c r="L29" s="176"/>
      <c r="M29" s="35"/>
      <c r="N29" s="33"/>
      <c r="O29" s="35"/>
      <c r="P29" s="27"/>
      <c r="Q29" s="35"/>
    </row>
    <row r="30" spans="1:17">
      <c r="A30" t="s">
        <v>51</v>
      </c>
      <c r="B30" s="27">
        <v>56520.43</v>
      </c>
      <c r="C30" s="28"/>
      <c r="D30" s="27">
        <v>36519.14</v>
      </c>
      <c r="E30" s="44">
        <f>D30/7*5</f>
        <v>26085.1</v>
      </c>
      <c r="F30" s="28">
        <f t="shared" ref="F30:F35" si="6">E30+D30</f>
        <v>62604.24</v>
      </c>
      <c r="G30" s="28">
        <f>I30-F30</f>
        <v>-104.23999999999796</v>
      </c>
      <c r="H30" s="29">
        <f>F30/I30</f>
        <v>1.0016678399999999</v>
      </c>
      <c r="I30" s="30">
        <v>62500</v>
      </c>
      <c r="J30" s="33" t="s">
        <v>52</v>
      </c>
      <c r="L30" s="176"/>
      <c r="M30" s="32">
        <v>68200</v>
      </c>
      <c r="O30" s="32">
        <v>69000</v>
      </c>
      <c r="P30" s="27"/>
      <c r="Q30" s="32">
        <v>70000</v>
      </c>
    </row>
    <row r="31" spans="1:17">
      <c r="A31" t="s">
        <v>53</v>
      </c>
      <c r="B31" s="27">
        <v>528.67999999999995</v>
      </c>
      <c r="C31" s="28"/>
      <c r="D31" s="27">
        <v>60</v>
      </c>
      <c r="E31" s="27">
        <v>100</v>
      </c>
      <c r="F31" s="28">
        <f t="shared" si="6"/>
        <v>160</v>
      </c>
      <c r="G31" s="28">
        <f>I31-F31</f>
        <v>140</v>
      </c>
      <c r="H31" s="29">
        <f>F31/I31</f>
        <v>0.53333333333333333</v>
      </c>
      <c r="I31" s="30">
        <v>300</v>
      </c>
      <c r="J31" s="31"/>
      <c r="L31" s="176"/>
      <c r="M31" s="32">
        <v>300</v>
      </c>
      <c r="N31" s="33"/>
      <c r="O31" s="32">
        <v>300</v>
      </c>
      <c r="P31" s="27"/>
      <c r="Q31" s="32">
        <v>300</v>
      </c>
    </row>
    <row r="32" spans="1:17">
      <c r="A32" s="67" t="s">
        <v>54</v>
      </c>
      <c r="B32" s="27">
        <v>-20</v>
      </c>
      <c r="C32" s="28"/>
      <c r="D32" s="27"/>
      <c r="E32" s="27"/>
      <c r="F32" s="28"/>
      <c r="G32" s="28"/>
      <c r="H32" s="29"/>
      <c r="I32" s="30"/>
      <c r="J32" s="31"/>
      <c r="L32" s="176"/>
      <c r="M32" s="32"/>
      <c r="N32" s="33"/>
      <c r="O32" s="32"/>
      <c r="P32" s="27"/>
      <c r="Q32" s="32"/>
    </row>
    <row r="33" spans="1:19">
      <c r="A33" t="s">
        <v>55</v>
      </c>
      <c r="B33" s="27">
        <v>90</v>
      </c>
      <c r="C33" s="28"/>
      <c r="D33" s="27">
        <v>407.75</v>
      </c>
      <c r="E33" s="27"/>
      <c r="F33" s="28">
        <f t="shared" si="6"/>
        <v>407.75</v>
      </c>
      <c r="G33" s="28">
        <f>I33-F33</f>
        <v>92.25</v>
      </c>
      <c r="H33" s="29">
        <f>F33/I33</f>
        <v>0.8155</v>
      </c>
      <c r="I33" s="30">
        <v>500</v>
      </c>
      <c r="J33"/>
      <c r="L33" s="176"/>
      <c r="M33" s="32">
        <v>600</v>
      </c>
      <c r="N33" s="33"/>
      <c r="O33" s="32">
        <v>600</v>
      </c>
      <c r="P33" s="27"/>
      <c r="Q33" s="32">
        <v>600</v>
      </c>
    </row>
    <row r="34" spans="1:19">
      <c r="A34" t="s">
        <v>56</v>
      </c>
      <c r="B34" s="27">
        <v>450</v>
      </c>
      <c r="C34" s="28"/>
      <c r="D34" s="27">
        <v>1000</v>
      </c>
      <c r="E34" s="27"/>
      <c r="F34" s="28">
        <f t="shared" si="6"/>
        <v>1000</v>
      </c>
      <c r="G34" s="28">
        <f>I34-F34</f>
        <v>0</v>
      </c>
      <c r="H34" s="29">
        <f>F34/I34</f>
        <v>1</v>
      </c>
      <c r="I34" s="189">
        <v>1000</v>
      </c>
      <c r="J34"/>
      <c r="L34" s="176"/>
      <c r="M34" s="68">
        <v>600</v>
      </c>
      <c r="N34" s="33"/>
      <c r="O34" s="190">
        <v>1300</v>
      </c>
      <c r="P34" s="27"/>
      <c r="Q34" s="190">
        <v>1300</v>
      </c>
    </row>
    <row r="35" spans="1:19">
      <c r="A35" t="s">
        <v>57</v>
      </c>
      <c r="B35" s="27"/>
      <c r="C35" s="28"/>
      <c r="D35" s="27"/>
      <c r="E35" s="27"/>
      <c r="F35" s="28">
        <f t="shared" si="6"/>
        <v>0</v>
      </c>
      <c r="G35" s="28">
        <f>I35-F35</f>
        <v>0</v>
      </c>
      <c r="H35" s="29" t="e">
        <f>F35/I35</f>
        <v>#DIV/0!</v>
      </c>
      <c r="I35" s="189"/>
      <c r="J35"/>
      <c r="L35" s="176"/>
      <c r="M35" s="69">
        <v>600</v>
      </c>
      <c r="N35" s="33"/>
      <c r="O35" s="190"/>
      <c r="P35" s="27"/>
      <c r="Q35" s="190"/>
    </row>
    <row r="36" spans="1:19">
      <c r="A36" s="37" t="s">
        <v>58</v>
      </c>
      <c r="B36" s="38"/>
      <c r="C36" s="38"/>
      <c r="D36" s="38"/>
      <c r="E36" s="38"/>
      <c r="F36" s="39"/>
      <c r="G36" s="39"/>
      <c r="H36" s="40"/>
      <c r="I36" s="41"/>
      <c r="J36" s="70"/>
      <c r="L36" s="176"/>
      <c r="M36" s="42"/>
      <c r="N36" s="33"/>
      <c r="O36" s="42"/>
      <c r="P36" s="27"/>
      <c r="Q36" s="42"/>
    </row>
    <row r="37" spans="1:19">
      <c r="A37" s="71" t="s">
        <v>59</v>
      </c>
      <c r="B37" s="44"/>
      <c r="C37" s="44">
        <v>9784.51</v>
      </c>
      <c r="D37" s="44"/>
      <c r="E37" s="44"/>
      <c r="F37" s="45"/>
      <c r="G37" s="45"/>
      <c r="H37" s="47"/>
      <c r="I37" s="48"/>
      <c r="J37" s="70"/>
      <c r="L37" s="177">
        <f>9784.51+G36</f>
        <v>9784.51</v>
      </c>
      <c r="M37" s="50"/>
      <c r="N37" s="33"/>
      <c r="O37" s="50"/>
      <c r="P37" s="27"/>
      <c r="Q37" s="50"/>
    </row>
    <row r="38" spans="1:19">
      <c r="A38" s="43" t="s">
        <v>60</v>
      </c>
      <c r="B38" s="44">
        <v>3284.85</v>
      </c>
      <c r="C38" s="44"/>
      <c r="D38" s="44">
        <v>1448.24</v>
      </c>
      <c r="E38" s="44">
        <f>700*5</f>
        <v>3500</v>
      </c>
      <c r="F38" s="45">
        <f>E38+D38</f>
        <v>4948.24</v>
      </c>
      <c r="G38" s="45">
        <f>I38-F38</f>
        <v>1451.7600000000002</v>
      </c>
      <c r="H38" s="47">
        <f>F38/I38</f>
        <v>0.77316249999999997</v>
      </c>
      <c r="I38" s="48">
        <v>6400</v>
      </c>
      <c r="J38" s="70"/>
      <c r="L38" s="177"/>
      <c r="M38" s="49">
        <v>6400</v>
      </c>
      <c r="N38" s="33"/>
      <c r="O38" s="49">
        <v>6600</v>
      </c>
      <c r="P38" s="27"/>
      <c r="Q38" s="49">
        <v>6800</v>
      </c>
    </row>
    <row r="39" spans="1:19">
      <c r="A39" s="51" t="s">
        <v>26</v>
      </c>
      <c r="B39" s="52">
        <v>1085</v>
      </c>
      <c r="C39" s="52"/>
      <c r="D39" s="52">
        <v>490</v>
      </c>
      <c r="E39" s="52">
        <f>D39/7*5</f>
        <v>350</v>
      </c>
      <c r="F39" s="53">
        <f>E39+D39</f>
        <v>840</v>
      </c>
      <c r="G39" s="53">
        <f>I39-F39</f>
        <v>260</v>
      </c>
      <c r="H39" s="54">
        <f>F39/I39</f>
        <v>0.76363636363636367</v>
      </c>
      <c r="I39" s="55">
        <v>1100</v>
      </c>
      <c r="J39" s="70"/>
      <c r="L39" s="177"/>
      <c r="M39" s="56">
        <v>900</v>
      </c>
      <c r="N39" s="33"/>
      <c r="O39" s="56">
        <v>900</v>
      </c>
      <c r="P39" s="27"/>
      <c r="Q39" s="56">
        <v>900</v>
      </c>
    </row>
    <row r="40" spans="1:19">
      <c r="A40" t="s">
        <v>61</v>
      </c>
      <c r="B40" s="27">
        <f>1325.46-1000</f>
        <v>325.46000000000004</v>
      </c>
      <c r="C40" s="27"/>
      <c r="D40" s="27"/>
      <c r="E40" s="28"/>
      <c r="F40" s="65"/>
      <c r="G40" s="65"/>
      <c r="H40" s="66"/>
      <c r="I40" s="34"/>
      <c r="J40"/>
      <c r="L40" s="177"/>
      <c r="M40" s="35"/>
      <c r="N40" s="33"/>
      <c r="O40" s="35"/>
      <c r="P40" s="27"/>
      <c r="Q40" s="35"/>
    </row>
    <row r="41" spans="1:19">
      <c r="A41" t="s">
        <v>62</v>
      </c>
      <c r="B41" s="27">
        <v>7044.5</v>
      </c>
      <c r="C41" s="27"/>
      <c r="D41" s="27">
        <v>492.18</v>
      </c>
      <c r="E41" s="28"/>
      <c r="F41" s="28">
        <f>E41+D41</f>
        <v>492.18</v>
      </c>
      <c r="G41" s="28">
        <f>I41-F41</f>
        <v>2507.8200000000002</v>
      </c>
      <c r="H41" s="29">
        <f>F41/I41</f>
        <v>0.16406000000000001</v>
      </c>
      <c r="I41" s="34">
        <v>3000</v>
      </c>
      <c r="J41"/>
      <c r="L41" s="179"/>
      <c r="M41" s="32">
        <v>4500</v>
      </c>
      <c r="N41" s="33"/>
      <c r="O41" s="32">
        <v>4500</v>
      </c>
      <c r="P41" s="27"/>
      <c r="Q41" s="32">
        <v>4500</v>
      </c>
      <c r="S41" t="s">
        <v>63</v>
      </c>
    </row>
    <row r="42" spans="1:19">
      <c r="A42" t="s">
        <v>64</v>
      </c>
      <c r="B42" s="27">
        <v>548</v>
      </c>
      <c r="C42" s="28"/>
      <c r="D42" s="27">
        <v>280</v>
      </c>
      <c r="E42" s="27">
        <v>600</v>
      </c>
      <c r="F42" s="28">
        <f>E42+D42</f>
        <v>880</v>
      </c>
      <c r="G42" s="28">
        <f>I42-F42</f>
        <v>620</v>
      </c>
      <c r="H42" s="29">
        <f>F42/I42</f>
        <v>0.58666666666666667</v>
      </c>
      <c r="I42" s="30">
        <v>1500</v>
      </c>
      <c r="J42" s="31"/>
      <c r="L42" s="176"/>
      <c r="M42" s="32">
        <v>1500</v>
      </c>
      <c r="N42" s="33"/>
      <c r="O42" s="32">
        <v>1500</v>
      </c>
      <c r="P42" s="27"/>
      <c r="Q42" s="32">
        <v>1500</v>
      </c>
    </row>
    <row r="43" spans="1:19">
      <c r="A43" s="37" t="s">
        <v>65</v>
      </c>
      <c r="B43" s="38">
        <v>615.08000000000004</v>
      </c>
      <c r="C43" s="72"/>
      <c r="D43" s="38"/>
      <c r="E43" s="39"/>
      <c r="F43" s="39">
        <f>E43+D43</f>
        <v>0</v>
      </c>
      <c r="G43" s="39">
        <f>I43-F43</f>
        <v>1000</v>
      </c>
      <c r="H43" s="40">
        <f>F43/I43</f>
        <v>0</v>
      </c>
      <c r="I43" s="59">
        <v>1000</v>
      </c>
      <c r="J43" s="33" t="s">
        <v>66</v>
      </c>
      <c r="L43" s="176"/>
      <c r="M43" s="73">
        <v>1500</v>
      </c>
      <c r="O43" s="73">
        <v>1500</v>
      </c>
      <c r="P43" s="27"/>
      <c r="Q43" s="73">
        <v>1500</v>
      </c>
    </row>
    <row r="44" spans="1:19">
      <c r="A44" s="43" t="s">
        <v>26</v>
      </c>
      <c r="B44" s="44">
        <f>15.98+125.5</f>
        <v>141.47999999999999</v>
      </c>
      <c r="C44" s="74"/>
      <c r="D44" s="44">
        <f>25+33.29</f>
        <v>58.29</v>
      </c>
      <c r="E44" s="45"/>
      <c r="F44" s="45"/>
      <c r="G44" s="45"/>
      <c r="H44" s="47"/>
      <c r="I44" s="60"/>
      <c r="J44" s="33"/>
      <c r="L44" s="176"/>
      <c r="M44" s="75"/>
      <c r="O44" s="75"/>
      <c r="P44" s="27"/>
      <c r="Q44" s="75"/>
    </row>
    <row r="45" spans="1:19">
      <c r="A45" s="43" t="s">
        <v>67</v>
      </c>
      <c r="B45" s="44"/>
      <c r="C45" s="74"/>
      <c r="D45" s="44">
        <f>17.08+250-41+42.99</f>
        <v>269.07</v>
      </c>
      <c r="E45" s="45"/>
      <c r="F45" s="45"/>
      <c r="G45" s="45"/>
      <c r="H45" s="47"/>
      <c r="I45" s="60"/>
      <c r="J45" s="33"/>
      <c r="L45" s="176"/>
      <c r="M45" s="75"/>
      <c r="O45" s="75"/>
      <c r="P45" s="27"/>
      <c r="Q45" s="75"/>
    </row>
    <row r="46" spans="1:19">
      <c r="A46" s="43" t="s">
        <v>68</v>
      </c>
      <c r="B46" s="44">
        <v>350</v>
      </c>
      <c r="C46" s="74"/>
      <c r="D46" s="44"/>
      <c r="E46" s="45"/>
      <c r="F46" s="45"/>
      <c r="G46" s="45"/>
      <c r="H46" s="47"/>
      <c r="I46" s="60"/>
      <c r="J46" s="33"/>
      <c r="L46" s="176"/>
      <c r="M46" s="75"/>
      <c r="O46" s="75"/>
      <c r="P46" s="27"/>
      <c r="Q46" s="75"/>
    </row>
    <row r="47" spans="1:19">
      <c r="A47" s="71" t="s">
        <v>69</v>
      </c>
      <c r="B47" s="44"/>
      <c r="C47" s="44">
        <v>5940.94</v>
      </c>
      <c r="D47" s="44"/>
      <c r="E47" s="45"/>
      <c r="F47" s="45"/>
      <c r="G47" s="45"/>
      <c r="H47" s="47"/>
      <c r="I47" s="60"/>
      <c r="J47" s="33"/>
      <c r="L47" s="177">
        <v>5940.94</v>
      </c>
      <c r="M47" s="76"/>
      <c r="O47" s="76"/>
      <c r="P47" s="27"/>
      <c r="Q47" s="76"/>
    </row>
    <row r="48" spans="1:19">
      <c r="A48" s="71" t="s">
        <v>70</v>
      </c>
      <c r="B48" s="44">
        <v>3855.3</v>
      </c>
      <c r="C48" s="44"/>
      <c r="D48" s="44"/>
      <c r="E48" s="44"/>
      <c r="F48" s="45"/>
      <c r="G48" s="45"/>
      <c r="H48" s="47"/>
      <c r="I48" s="48"/>
      <c r="J48" s="33" t="s">
        <v>71</v>
      </c>
      <c r="L48" s="177"/>
      <c r="M48" s="76"/>
      <c r="O48" s="76"/>
      <c r="P48" s="27"/>
      <c r="Q48" s="76"/>
    </row>
    <row r="49" spans="1:17">
      <c r="A49" s="71" t="s">
        <v>72</v>
      </c>
      <c r="B49" s="44"/>
      <c r="C49" s="44"/>
      <c r="D49" s="44"/>
      <c r="E49" s="45"/>
      <c r="F49" s="45"/>
      <c r="G49" s="45"/>
      <c r="H49" s="47"/>
      <c r="I49" s="48"/>
      <c r="J49"/>
      <c r="L49" s="177"/>
      <c r="M49" s="50"/>
      <c r="N49" s="33"/>
      <c r="O49" s="50"/>
      <c r="P49" s="27"/>
      <c r="Q49" s="50"/>
    </row>
    <row r="50" spans="1:17">
      <c r="A50" s="71" t="s">
        <v>73</v>
      </c>
      <c r="B50" s="44"/>
      <c r="C50" s="44"/>
      <c r="D50" s="44"/>
      <c r="E50" s="45"/>
      <c r="F50" s="77"/>
      <c r="G50" s="77"/>
      <c r="H50" s="78"/>
      <c r="I50" s="60"/>
      <c r="J50"/>
      <c r="L50" s="177"/>
      <c r="M50" s="76"/>
      <c r="N50" s="33"/>
      <c r="O50" s="76"/>
      <c r="P50" s="27"/>
      <c r="Q50" s="76"/>
    </row>
    <row r="51" spans="1:17">
      <c r="A51" s="43" t="s">
        <v>47</v>
      </c>
      <c r="B51" s="44">
        <v>1102.5</v>
      </c>
      <c r="C51" s="44"/>
      <c r="D51" s="44">
        <v>1102.5</v>
      </c>
      <c r="E51" s="45"/>
      <c r="F51" s="45">
        <f>E51+D51</f>
        <v>1102.5</v>
      </c>
      <c r="G51" s="45">
        <f>I51-F51</f>
        <v>97.5</v>
      </c>
      <c r="H51" s="47">
        <f>F51/I51</f>
        <v>0.91874999999999996</v>
      </c>
      <c r="I51" s="60">
        <v>1200</v>
      </c>
      <c r="J51"/>
      <c r="L51" s="177"/>
      <c r="M51" s="75">
        <v>1200</v>
      </c>
      <c r="N51" s="33"/>
      <c r="O51" s="76">
        <v>1200</v>
      </c>
      <c r="P51" s="27"/>
      <c r="Q51" s="76">
        <v>1200</v>
      </c>
    </row>
    <row r="52" spans="1:17">
      <c r="A52" s="43" t="s">
        <v>74</v>
      </c>
      <c r="B52" s="44">
        <v>19.82</v>
      </c>
      <c r="C52" s="44"/>
      <c r="D52" s="44">
        <v>75.569999999999993</v>
      </c>
      <c r="E52" s="45"/>
      <c r="F52" s="45">
        <f>E52+D52</f>
        <v>75.569999999999993</v>
      </c>
      <c r="G52" s="45">
        <f>I52-F52</f>
        <v>-75.569999999999993</v>
      </c>
      <c r="H52" s="47" t="e">
        <f>F52/I52</f>
        <v>#DIV/0!</v>
      </c>
      <c r="I52" s="60"/>
      <c r="J52"/>
      <c r="L52" s="177"/>
      <c r="M52" s="76"/>
      <c r="N52" s="33"/>
      <c r="O52" s="76"/>
      <c r="P52" s="27"/>
      <c r="Q52" s="76"/>
    </row>
    <row r="53" spans="1:17">
      <c r="A53" s="43" t="s">
        <v>26</v>
      </c>
      <c r="B53" s="44"/>
      <c r="C53" s="44"/>
      <c r="D53" s="44">
        <v>7.07</v>
      </c>
      <c r="E53" s="45">
        <v>100</v>
      </c>
      <c r="F53" s="45">
        <f>E53+D53</f>
        <v>107.07</v>
      </c>
      <c r="G53" s="45">
        <f>I53-F53</f>
        <v>292.93</v>
      </c>
      <c r="H53" s="47">
        <f>F53/I53</f>
        <v>0.267675</v>
      </c>
      <c r="I53" s="60">
        <v>400</v>
      </c>
      <c r="J53"/>
      <c r="L53" s="177"/>
      <c r="M53" s="75">
        <v>450</v>
      </c>
      <c r="N53" s="33"/>
      <c r="O53" s="76">
        <v>500</v>
      </c>
      <c r="P53" s="27"/>
      <c r="Q53" s="76">
        <v>550</v>
      </c>
    </row>
    <row r="54" spans="1:17">
      <c r="A54" s="71" t="s">
        <v>75</v>
      </c>
      <c r="B54" s="44"/>
      <c r="C54" s="44"/>
      <c r="D54" s="44"/>
      <c r="E54" s="45"/>
      <c r="F54" s="77"/>
      <c r="G54" s="77"/>
      <c r="H54" s="78"/>
      <c r="I54" s="60"/>
      <c r="J54"/>
      <c r="L54" s="177"/>
      <c r="M54" s="76"/>
      <c r="N54" s="33"/>
      <c r="O54" s="76"/>
      <c r="P54" s="27"/>
      <c r="Q54" s="76"/>
    </row>
    <row r="55" spans="1:17">
      <c r="A55" s="43" t="s">
        <v>26</v>
      </c>
      <c r="B55" s="44">
        <v>698.08</v>
      </c>
      <c r="C55" s="44"/>
      <c r="D55" s="44">
        <v>170.11</v>
      </c>
      <c r="E55" s="45">
        <v>200</v>
      </c>
      <c r="F55" s="45">
        <f>E55+D55</f>
        <v>370.11</v>
      </c>
      <c r="G55" s="45">
        <f>I55-F55</f>
        <v>529.89</v>
      </c>
      <c r="H55" s="47">
        <f>F55/I55</f>
        <v>0.41123333333333334</v>
      </c>
      <c r="I55" s="60">
        <v>900</v>
      </c>
      <c r="J55"/>
      <c r="L55" s="177"/>
      <c r="M55" s="75">
        <v>950</v>
      </c>
      <c r="N55" s="33"/>
      <c r="O55" s="76">
        <v>1000</v>
      </c>
      <c r="P55" s="27"/>
      <c r="Q55" s="76">
        <v>1050</v>
      </c>
    </row>
    <row r="56" spans="1:17">
      <c r="A56" s="43" t="s">
        <v>76</v>
      </c>
      <c r="B56" s="44">
        <v>54.69</v>
      </c>
      <c r="C56" s="44"/>
      <c r="D56" s="44">
        <v>39.49</v>
      </c>
      <c r="E56" s="45">
        <f>D56/7*5</f>
        <v>28.207142857142856</v>
      </c>
      <c r="F56" s="45">
        <f>E56+D56</f>
        <v>67.697142857142865</v>
      </c>
      <c r="G56" s="45">
        <f>I56-F56</f>
        <v>12.302857142857135</v>
      </c>
      <c r="H56" s="47">
        <f>F56/I56</f>
        <v>0.84621428571428581</v>
      </c>
      <c r="I56" s="60">
        <v>80</v>
      </c>
      <c r="J56"/>
      <c r="L56" s="177"/>
      <c r="M56" s="75">
        <v>80</v>
      </c>
      <c r="N56" s="33"/>
      <c r="O56" s="76">
        <v>85</v>
      </c>
      <c r="P56" s="27"/>
      <c r="Q56" s="76">
        <v>90</v>
      </c>
    </row>
    <row r="57" spans="1:17">
      <c r="A57" s="43" t="s">
        <v>68</v>
      </c>
      <c r="B57" s="44">
        <v>760</v>
      </c>
      <c r="C57" s="44"/>
      <c r="D57" s="44"/>
      <c r="E57" s="45"/>
      <c r="F57" s="45">
        <f>E57+D57</f>
        <v>0</v>
      </c>
      <c r="G57" s="45">
        <f>I57-F57</f>
        <v>500</v>
      </c>
      <c r="H57" s="47">
        <f>F57/I57</f>
        <v>0</v>
      </c>
      <c r="I57" s="60">
        <v>500</v>
      </c>
      <c r="J57"/>
      <c r="L57" s="177"/>
      <c r="M57" s="75">
        <v>550</v>
      </c>
      <c r="N57" s="33"/>
      <c r="O57" s="76">
        <v>560</v>
      </c>
      <c r="P57" s="27"/>
      <c r="Q57" s="76">
        <v>570</v>
      </c>
    </row>
    <row r="58" spans="1:17">
      <c r="A58" s="71" t="s">
        <v>77</v>
      </c>
      <c r="B58" s="44"/>
      <c r="C58" s="44"/>
      <c r="D58" s="44"/>
      <c r="E58" s="45"/>
      <c r="F58" s="77"/>
      <c r="G58" s="77"/>
      <c r="H58" s="78"/>
      <c r="I58" s="60"/>
      <c r="J58"/>
      <c r="L58" s="177"/>
      <c r="M58" s="76"/>
      <c r="N58" s="33"/>
      <c r="O58" s="76"/>
      <c r="P58" s="27"/>
      <c r="Q58" s="76"/>
    </row>
    <row r="59" spans="1:17">
      <c r="A59" s="43" t="s">
        <v>26</v>
      </c>
      <c r="B59" s="44">
        <v>318.85000000000002</v>
      </c>
      <c r="C59" s="44"/>
      <c r="D59" s="44">
        <v>376.24</v>
      </c>
      <c r="E59" s="44">
        <v>1000</v>
      </c>
      <c r="F59" s="45">
        <f>E59+D59</f>
        <v>1376.24</v>
      </c>
      <c r="G59" s="45">
        <f>I59-F59</f>
        <v>1623.76</v>
      </c>
      <c r="H59" s="47">
        <f>F59/I59</f>
        <v>0.45874666666666669</v>
      </c>
      <c r="I59" s="60">
        <v>3000</v>
      </c>
      <c r="J59"/>
      <c r="L59" s="177"/>
      <c r="M59" s="75">
        <v>3500</v>
      </c>
      <c r="N59" s="33"/>
      <c r="O59" s="76">
        <v>3000</v>
      </c>
      <c r="P59" s="27"/>
      <c r="Q59" s="76">
        <v>3000</v>
      </c>
    </row>
    <row r="60" spans="1:17">
      <c r="A60" s="43" t="s">
        <v>68</v>
      </c>
      <c r="B60" s="44">
        <v>350</v>
      </c>
      <c r="C60" s="44"/>
      <c r="D60" s="44"/>
      <c r="E60" s="45"/>
      <c r="F60" s="45"/>
      <c r="G60" s="45"/>
      <c r="H60" s="47"/>
      <c r="I60" s="60">
        <v>500</v>
      </c>
      <c r="J60"/>
      <c r="L60" s="177"/>
      <c r="M60" s="75">
        <v>500</v>
      </c>
      <c r="N60" s="33"/>
      <c r="O60" s="76">
        <v>500</v>
      </c>
      <c r="P60" s="27"/>
      <c r="Q60" s="76">
        <v>500</v>
      </c>
    </row>
    <row r="61" spans="1:17">
      <c r="A61" s="43" t="s">
        <v>78</v>
      </c>
      <c r="B61" s="44">
        <v>50</v>
      </c>
      <c r="C61" s="44"/>
      <c r="D61" s="44"/>
      <c r="E61" s="45"/>
      <c r="F61" s="45"/>
      <c r="G61" s="45"/>
      <c r="H61" s="47"/>
      <c r="I61" s="60"/>
      <c r="J61"/>
      <c r="L61" s="177"/>
      <c r="M61" s="75"/>
      <c r="N61" s="33"/>
      <c r="O61" s="76"/>
      <c r="P61" s="27"/>
      <c r="Q61" s="76"/>
    </row>
    <row r="62" spans="1:17">
      <c r="A62" s="71" t="s">
        <v>79</v>
      </c>
      <c r="B62" s="44">
        <v>-200</v>
      </c>
      <c r="C62" s="44">
        <v>3018.49</v>
      </c>
      <c r="D62" s="44"/>
      <c r="E62" s="45"/>
      <c r="F62" s="45">
        <f>SUM(D62:E62)</f>
        <v>0</v>
      </c>
      <c r="G62" s="45">
        <f t="shared" ref="G62" si="7">I62-F62</f>
        <v>0</v>
      </c>
      <c r="H62" s="47"/>
      <c r="I62" s="48"/>
      <c r="J62"/>
      <c r="L62" s="177">
        <v>518.49</v>
      </c>
      <c r="M62" s="50"/>
      <c r="N62" s="33"/>
      <c r="O62" s="50"/>
      <c r="P62" s="27"/>
      <c r="Q62" s="50"/>
    </row>
    <row r="63" spans="1:17">
      <c r="A63" s="71" t="s">
        <v>80</v>
      </c>
      <c r="B63" s="44"/>
      <c r="D63" s="44"/>
      <c r="E63" s="45"/>
      <c r="F63" s="77"/>
      <c r="G63" s="45"/>
      <c r="H63" s="78"/>
      <c r="I63" s="60"/>
      <c r="J63"/>
      <c r="L63" s="176"/>
      <c r="M63" s="76"/>
      <c r="N63" s="33"/>
      <c r="O63" s="76"/>
      <c r="P63" s="27"/>
      <c r="Q63" s="76"/>
    </row>
    <row r="64" spans="1:17">
      <c r="A64" s="43" t="s">
        <v>26</v>
      </c>
      <c r="B64" s="44">
        <v>1665.57</v>
      </c>
      <c r="C64" s="44"/>
      <c r="D64" s="44"/>
      <c r="E64" s="45">
        <v>200</v>
      </c>
      <c r="F64" s="45">
        <f>E64+D64</f>
        <v>200</v>
      </c>
      <c r="G64" s="45">
        <f>I64-F64</f>
        <v>300</v>
      </c>
      <c r="H64" s="47">
        <f>F64/I64</f>
        <v>0.4</v>
      </c>
      <c r="I64" s="60">
        <v>500</v>
      </c>
      <c r="J64" s="33" t="s">
        <v>81</v>
      </c>
      <c r="L64" s="177"/>
      <c r="M64" s="75">
        <v>500</v>
      </c>
      <c r="N64" s="33" t="s">
        <v>81</v>
      </c>
      <c r="O64" s="76">
        <v>500</v>
      </c>
      <c r="P64" s="27"/>
      <c r="Q64" s="76">
        <v>500</v>
      </c>
    </row>
    <row r="65" spans="1:19">
      <c r="A65" s="43" t="s">
        <v>67</v>
      </c>
      <c r="B65" s="44"/>
      <c r="C65" s="44"/>
      <c r="D65" s="44">
        <v>132.30000000000001</v>
      </c>
      <c r="E65" s="45"/>
      <c r="F65" s="45"/>
      <c r="G65" s="45"/>
      <c r="H65" s="47"/>
      <c r="I65" s="60"/>
      <c r="J65" s="33"/>
      <c r="L65" s="177"/>
      <c r="M65" s="75"/>
      <c r="N65" s="33"/>
      <c r="O65" s="76"/>
      <c r="P65" s="27"/>
      <c r="Q65" s="76"/>
    </row>
    <row r="66" spans="1:19">
      <c r="A66" s="51" t="s">
        <v>68</v>
      </c>
      <c r="B66" s="52">
        <v>900</v>
      </c>
      <c r="C66" s="52"/>
      <c r="D66" s="52"/>
      <c r="E66" s="53"/>
      <c r="F66" s="53">
        <f>E66+D66</f>
        <v>0</v>
      </c>
      <c r="G66" s="53">
        <f>I66-F66</f>
        <v>500</v>
      </c>
      <c r="H66" s="54">
        <f>F66/I66</f>
        <v>0</v>
      </c>
      <c r="I66" s="63">
        <v>500</v>
      </c>
      <c r="J66" s="27">
        <f>SUM(I43:I66)</f>
        <v>8580</v>
      </c>
      <c r="L66" s="180"/>
      <c r="M66" s="79">
        <v>500</v>
      </c>
      <c r="N66" s="33"/>
      <c r="O66" s="80">
        <v>550</v>
      </c>
      <c r="P66" s="27"/>
      <c r="Q66" s="80">
        <v>550</v>
      </c>
    </row>
    <row r="67" spans="1:19">
      <c r="A67" t="s">
        <v>82</v>
      </c>
      <c r="B67" s="27"/>
      <c r="C67" s="27">
        <v>254.56</v>
      </c>
      <c r="D67" s="27">
        <v>40.47</v>
      </c>
      <c r="E67" s="28"/>
      <c r="F67" s="28">
        <f>SUM(D67:E67)</f>
        <v>40.47</v>
      </c>
      <c r="G67" s="39">
        <f>I67-F67</f>
        <v>-40.47</v>
      </c>
      <c r="H67" s="29"/>
      <c r="I67" s="30"/>
      <c r="J67"/>
      <c r="L67" s="177">
        <f>C67-D67-E67</f>
        <v>214.09</v>
      </c>
      <c r="M67" s="35"/>
      <c r="N67" s="33"/>
      <c r="O67" s="35"/>
      <c r="P67" s="27"/>
      <c r="Q67" s="35"/>
    </row>
    <row r="68" spans="1:19">
      <c r="A68" s="67" t="s">
        <v>83</v>
      </c>
      <c r="B68" s="27"/>
      <c r="C68" s="44">
        <v>5516.25</v>
      </c>
      <c r="D68" s="27"/>
      <c r="E68" s="28"/>
      <c r="F68" s="28"/>
      <c r="G68" s="28"/>
      <c r="H68" s="29"/>
      <c r="I68" s="30"/>
      <c r="J68"/>
      <c r="L68" s="177">
        <v>5516.25</v>
      </c>
      <c r="M68" s="35"/>
      <c r="N68" s="33"/>
      <c r="O68" s="35"/>
      <c r="P68" s="27"/>
      <c r="Q68" s="35"/>
    </row>
    <row r="69" spans="1:19">
      <c r="A69" s="37" t="s">
        <v>84</v>
      </c>
      <c r="B69" s="38"/>
      <c r="C69" s="38"/>
      <c r="D69" s="38"/>
      <c r="E69" s="39"/>
      <c r="F69" s="39"/>
      <c r="G69" s="39"/>
      <c r="H69" s="40"/>
      <c r="I69" s="41"/>
      <c r="J69" s="81" t="s">
        <v>85</v>
      </c>
      <c r="L69" s="177"/>
      <c r="M69" s="42"/>
      <c r="N69" s="33"/>
      <c r="O69" s="42"/>
      <c r="P69" s="27"/>
      <c r="Q69" s="42"/>
    </row>
    <row r="70" spans="1:19">
      <c r="A70" s="43" t="s">
        <v>86</v>
      </c>
      <c r="B70" s="44">
        <v>2366.38</v>
      </c>
      <c r="C70" s="44"/>
      <c r="D70" s="44">
        <v>1412.84</v>
      </c>
      <c r="E70" s="45">
        <f>D70/7*5</f>
        <v>1009.1714285714285</v>
      </c>
      <c r="F70" s="45">
        <f>E70+D70</f>
        <v>2422.0114285714285</v>
      </c>
      <c r="G70" s="45">
        <f t="shared" ref="G70:G83" si="8">I70-F70</f>
        <v>27.988571428571504</v>
      </c>
      <c r="H70" s="47">
        <f t="shared" ref="H70:H82" si="9">F70/I70</f>
        <v>0.98857609329446061</v>
      </c>
      <c r="I70" s="48">
        <v>2450</v>
      </c>
      <c r="J70" s="81"/>
      <c r="L70" s="177"/>
      <c r="M70" s="49">
        <v>2470</v>
      </c>
      <c r="N70" s="33"/>
      <c r="O70" s="50">
        <v>2500</v>
      </c>
      <c r="P70" s="27"/>
      <c r="Q70" s="50">
        <v>2520</v>
      </c>
    </row>
    <row r="71" spans="1:19">
      <c r="A71" s="43" t="s">
        <v>75</v>
      </c>
      <c r="B71" s="44">
        <v>1616.11</v>
      </c>
      <c r="C71" s="44"/>
      <c r="D71" s="44">
        <v>964.87</v>
      </c>
      <c r="E71" s="45">
        <f t="shared" ref="E71:E76" si="10">D71/7*5</f>
        <v>689.19285714285718</v>
      </c>
      <c r="F71" s="45">
        <f t="shared" ref="F71:F76" si="11">E71+D71</f>
        <v>1654.0628571428572</v>
      </c>
      <c r="G71" s="45">
        <f t="shared" si="8"/>
        <v>-14.062857142857183</v>
      </c>
      <c r="H71" s="47">
        <f t="shared" si="9"/>
        <v>1.0085749128919861</v>
      </c>
      <c r="I71" s="48">
        <v>1640</v>
      </c>
      <c r="J71" s="81"/>
      <c r="L71" s="177"/>
      <c r="M71" s="49">
        <v>1660</v>
      </c>
      <c r="N71" s="33"/>
      <c r="O71" s="50">
        <v>1680</v>
      </c>
      <c r="P71" s="27"/>
      <c r="Q71" s="50">
        <v>1700</v>
      </c>
    </row>
    <row r="72" spans="1:19">
      <c r="A72" s="43" t="s">
        <v>73</v>
      </c>
      <c r="B72" s="44">
        <v>1806.28</v>
      </c>
      <c r="C72" s="44"/>
      <c r="D72" s="44">
        <v>1078.43</v>
      </c>
      <c r="E72" s="45">
        <f t="shared" si="10"/>
        <v>770.30714285714294</v>
      </c>
      <c r="F72" s="45">
        <f t="shared" si="11"/>
        <v>1848.737142857143</v>
      </c>
      <c r="G72" s="45">
        <f t="shared" si="8"/>
        <v>-18.737142857142999</v>
      </c>
      <c r="H72" s="47">
        <f t="shared" si="9"/>
        <v>1.0102388758782201</v>
      </c>
      <c r="I72" s="48">
        <v>1830</v>
      </c>
      <c r="J72" s="81"/>
      <c r="L72" s="177"/>
      <c r="M72" s="49">
        <v>1850</v>
      </c>
      <c r="N72" s="33"/>
      <c r="O72" s="50">
        <v>1870</v>
      </c>
      <c r="P72" s="27"/>
      <c r="Q72" s="50">
        <v>1890</v>
      </c>
    </row>
    <row r="73" spans="1:19">
      <c r="A73" s="43" t="s">
        <v>77</v>
      </c>
      <c r="B73" s="44">
        <v>528.37</v>
      </c>
      <c r="C73" s="44"/>
      <c r="D73" s="44">
        <v>315.5</v>
      </c>
      <c r="E73" s="45">
        <f t="shared" si="10"/>
        <v>225.35714285714283</v>
      </c>
      <c r="F73" s="45">
        <f t="shared" si="11"/>
        <v>540.85714285714289</v>
      </c>
      <c r="G73" s="45">
        <f t="shared" si="8"/>
        <v>19.14285714285711</v>
      </c>
      <c r="H73" s="47">
        <f t="shared" si="9"/>
        <v>0.96581632653061233</v>
      </c>
      <c r="I73" s="48">
        <v>560</v>
      </c>
      <c r="J73" s="81"/>
      <c r="L73" s="177"/>
      <c r="M73" s="49">
        <v>580</v>
      </c>
      <c r="N73" s="33"/>
      <c r="O73" s="50">
        <v>600</v>
      </c>
      <c r="P73" s="27"/>
      <c r="Q73" s="50">
        <v>620</v>
      </c>
    </row>
    <row r="74" spans="1:19">
      <c r="A74" s="43" t="s">
        <v>80</v>
      </c>
      <c r="B74" s="44">
        <v>126</v>
      </c>
      <c r="C74" s="44"/>
      <c r="D74" s="44"/>
      <c r="E74" s="45">
        <f t="shared" si="10"/>
        <v>0</v>
      </c>
      <c r="F74" s="45">
        <f t="shared" si="11"/>
        <v>0</v>
      </c>
      <c r="G74" s="45">
        <f t="shared" si="8"/>
        <v>250</v>
      </c>
      <c r="H74" s="47">
        <f t="shared" si="9"/>
        <v>0</v>
      </c>
      <c r="I74" s="48">
        <v>250</v>
      </c>
      <c r="J74" s="81"/>
      <c r="L74" s="177"/>
      <c r="M74" s="49">
        <v>270</v>
      </c>
      <c r="N74" s="33"/>
      <c r="O74" s="50">
        <v>300</v>
      </c>
      <c r="P74" s="27"/>
      <c r="Q74" s="50">
        <v>320</v>
      </c>
    </row>
    <row r="75" spans="1:19">
      <c r="A75" s="43" t="s">
        <v>87</v>
      </c>
      <c r="B75" s="61">
        <v>288.61</v>
      </c>
      <c r="C75" s="44"/>
      <c r="D75" s="44">
        <v>172.3</v>
      </c>
      <c r="E75" s="45">
        <f t="shared" si="10"/>
        <v>123.07142857142858</v>
      </c>
      <c r="F75" s="45">
        <f t="shared" si="11"/>
        <v>295.37142857142862</v>
      </c>
      <c r="G75" s="45">
        <f>I75-F75</f>
        <v>24.628571428571377</v>
      </c>
      <c r="H75" s="47">
        <f t="shared" si="9"/>
        <v>0.9230357142857144</v>
      </c>
      <c r="I75" s="48">
        <v>320</v>
      </c>
      <c r="J75" s="81"/>
      <c r="L75" s="177"/>
      <c r="M75" s="49">
        <v>340</v>
      </c>
      <c r="N75" s="33"/>
      <c r="O75" s="50">
        <v>360</v>
      </c>
      <c r="P75" s="27"/>
      <c r="Q75" s="50">
        <v>380</v>
      </c>
    </row>
    <row r="76" spans="1:19">
      <c r="A76" s="51" t="s">
        <v>88</v>
      </c>
      <c r="B76" s="82">
        <v>288.61</v>
      </c>
      <c r="C76" s="52"/>
      <c r="D76" s="52">
        <v>172.3</v>
      </c>
      <c r="E76" s="53">
        <f t="shared" si="10"/>
        <v>123.07142857142858</v>
      </c>
      <c r="F76" s="53">
        <f t="shared" si="11"/>
        <v>295.37142857142862</v>
      </c>
      <c r="G76" s="53">
        <f t="shared" si="8"/>
        <v>24.628571428571377</v>
      </c>
      <c r="H76" s="54">
        <f t="shared" si="9"/>
        <v>0.9230357142857144</v>
      </c>
      <c r="I76" s="55">
        <v>320</v>
      </c>
      <c r="J76" s="81"/>
      <c r="L76" s="177"/>
      <c r="M76" s="56">
        <v>340</v>
      </c>
      <c r="N76" s="33"/>
      <c r="O76" s="83">
        <v>360</v>
      </c>
      <c r="P76" s="27"/>
      <c r="Q76" s="83">
        <v>380</v>
      </c>
      <c r="S76" s="27"/>
    </row>
    <row r="77" spans="1:19">
      <c r="A77" t="s">
        <v>89</v>
      </c>
      <c r="B77" s="27"/>
      <c r="C77" s="27">
        <v>12749.79</v>
      </c>
      <c r="D77" s="27"/>
      <c r="E77" s="28">
        <v>1784</v>
      </c>
      <c r="F77" s="28">
        <f t="shared" ref="F77:F82" si="12">SUM(D77:E77)</f>
        <v>1784</v>
      </c>
      <c r="G77" s="45">
        <f t="shared" si="8"/>
        <v>-1784</v>
      </c>
      <c r="H77" s="47"/>
      <c r="I77" s="30"/>
      <c r="J77" s="28"/>
      <c r="L77" s="177">
        <f>C77-D77-E77</f>
        <v>10965.79</v>
      </c>
      <c r="M77" s="35"/>
      <c r="N77" s="33"/>
      <c r="O77" s="35"/>
      <c r="P77" s="27"/>
      <c r="Q77" s="35"/>
    </row>
    <row r="78" spans="1:19" s="88" customFormat="1">
      <c r="A78" s="84" t="s">
        <v>75</v>
      </c>
      <c r="B78" s="85">
        <v>-7074</v>
      </c>
      <c r="C78" s="85"/>
      <c r="D78" s="85">
        <v>-2998</v>
      </c>
      <c r="E78" s="86">
        <v>-1000</v>
      </c>
      <c r="F78" s="86">
        <f t="shared" si="12"/>
        <v>-3998</v>
      </c>
      <c r="G78" s="45">
        <f t="shared" si="8"/>
        <v>-2002</v>
      </c>
      <c r="H78" s="47">
        <f t="shared" si="9"/>
        <v>0.66633333333333333</v>
      </c>
      <c r="I78" s="87">
        <v>-6000</v>
      </c>
      <c r="J78" s="64"/>
      <c r="L78" s="181"/>
      <c r="M78" s="89">
        <v>-6000</v>
      </c>
      <c r="N78" s="90"/>
      <c r="O78" s="91">
        <v>-6000</v>
      </c>
      <c r="P78" s="85"/>
      <c r="Q78" s="91">
        <v>-6000</v>
      </c>
    </row>
    <row r="79" spans="1:19">
      <c r="A79" t="s">
        <v>90</v>
      </c>
      <c r="B79" s="27"/>
      <c r="C79" s="27">
        <v>22554.86</v>
      </c>
      <c r="D79" s="27"/>
      <c r="E79" s="28"/>
      <c r="F79" s="28">
        <f t="shared" si="12"/>
        <v>0</v>
      </c>
      <c r="G79" s="45">
        <f t="shared" si="8"/>
        <v>0</v>
      </c>
      <c r="H79" s="47"/>
      <c r="I79" s="30"/>
      <c r="J79"/>
      <c r="L79" s="177">
        <f>C79-D79-E79</f>
        <v>22554.86</v>
      </c>
      <c r="M79" s="35"/>
      <c r="N79" s="33"/>
      <c r="O79" s="35"/>
      <c r="P79" s="27"/>
      <c r="Q79" s="35"/>
    </row>
    <row r="80" spans="1:19" s="88" customFormat="1">
      <c r="A80" s="84" t="s">
        <v>91</v>
      </c>
      <c r="B80" s="85">
        <v>-104.62</v>
      </c>
      <c r="C80" s="85"/>
      <c r="D80" s="85">
        <f>-5.42</f>
        <v>-5.42</v>
      </c>
      <c r="E80" s="86">
        <f>(D80/7*5)-200</f>
        <v>-203.87142857142857</v>
      </c>
      <c r="F80" s="86">
        <f t="shared" si="12"/>
        <v>-209.29142857142855</v>
      </c>
      <c r="G80" s="45">
        <f t="shared" si="8"/>
        <v>-40.708571428571446</v>
      </c>
      <c r="H80" s="47">
        <f t="shared" si="9"/>
        <v>0.83716571428571418</v>
      </c>
      <c r="I80" s="87">
        <v>-250</v>
      </c>
      <c r="L80" s="181"/>
      <c r="M80" s="89">
        <v>-250</v>
      </c>
      <c r="N80" s="90"/>
      <c r="O80" s="89">
        <v>-200</v>
      </c>
      <c r="P80" s="85"/>
      <c r="Q80" s="89">
        <v>-200</v>
      </c>
    </row>
    <row r="81" spans="1:17" s="88" customFormat="1">
      <c r="A81" s="84" t="s">
        <v>92</v>
      </c>
      <c r="B81" s="85">
        <v>-3235.45</v>
      </c>
      <c r="C81" s="85"/>
      <c r="D81" s="85">
        <v>-3270.05</v>
      </c>
      <c r="E81" s="86"/>
      <c r="F81" s="86">
        <f>SUM(D81:E81)</f>
        <v>-3270.05</v>
      </c>
      <c r="G81" s="45">
        <f t="shared" si="8"/>
        <v>20.050000000000182</v>
      </c>
      <c r="H81" s="47">
        <f t="shared" si="9"/>
        <v>1.0061692307692309</v>
      </c>
      <c r="I81" s="87">
        <v>-3250</v>
      </c>
      <c r="J81" s="64"/>
      <c r="L81" s="181"/>
      <c r="M81" s="89">
        <v>-3270</v>
      </c>
      <c r="N81" s="90"/>
      <c r="O81" s="89">
        <v>-3280</v>
      </c>
      <c r="P81" s="85"/>
      <c r="Q81" s="89">
        <v>-3300</v>
      </c>
    </row>
    <row r="82" spans="1:17" s="88" customFormat="1">
      <c r="A82" s="84" t="s">
        <v>93</v>
      </c>
      <c r="B82" s="85">
        <v>-167.72</v>
      </c>
      <c r="C82" s="85"/>
      <c r="D82" s="85">
        <v>-159.53</v>
      </c>
      <c r="E82" s="86"/>
      <c r="F82" s="86">
        <f t="shared" si="12"/>
        <v>-159.53</v>
      </c>
      <c r="G82" s="45">
        <f t="shared" si="8"/>
        <v>159.53</v>
      </c>
      <c r="H82" s="47" t="e">
        <f t="shared" si="9"/>
        <v>#DIV/0!</v>
      </c>
      <c r="I82" s="87"/>
      <c r="L82" s="181"/>
      <c r="M82" s="91"/>
      <c r="N82" s="90"/>
      <c r="O82" s="91"/>
      <c r="P82" s="85"/>
      <c r="Q82" s="91"/>
    </row>
    <row r="83" spans="1:17">
      <c r="A83" s="37" t="s">
        <v>94</v>
      </c>
      <c r="B83" s="38"/>
      <c r="C83" s="38">
        <v>70.819999999999993</v>
      </c>
      <c r="D83" s="38">
        <v>70.819999999999993</v>
      </c>
      <c r="E83" s="39"/>
      <c r="F83" s="39">
        <f>SUM(D83:E83)</f>
        <v>70.819999999999993</v>
      </c>
      <c r="G83" s="39">
        <f t="shared" si="8"/>
        <v>-70.819999999999993</v>
      </c>
      <c r="H83" s="40"/>
      <c r="I83" s="92"/>
      <c r="J83"/>
      <c r="L83" s="177"/>
      <c r="M83" s="93"/>
      <c r="N83" s="94"/>
      <c r="O83" s="93"/>
      <c r="P83" s="95"/>
      <c r="Q83" s="93"/>
    </row>
    <row r="84" spans="1:17">
      <c r="A84" s="96" t="s">
        <v>95</v>
      </c>
      <c r="B84" s="44">
        <v>-13297.6</v>
      </c>
      <c r="C84" s="44"/>
      <c r="D84" s="44"/>
      <c r="E84" s="45">
        <v>-2708</v>
      </c>
      <c r="F84" s="45"/>
      <c r="G84" s="45"/>
      <c r="H84" s="47"/>
      <c r="I84" s="97"/>
      <c r="J84"/>
      <c r="L84" s="177"/>
      <c r="M84" s="93"/>
      <c r="N84" s="94"/>
      <c r="O84" s="93"/>
      <c r="P84" s="95"/>
      <c r="Q84" s="93"/>
    </row>
    <row r="85" spans="1:17" s="103" customFormat="1">
      <c r="A85" s="98" t="s">
        <v>96</v>
      </c>
      <c r="B85" s="99">
        <v>13297.6</v>
      </c>
      <c r="C85" s="99"/>
      <c r="D85" s="99">
        <v>2708</v>
      </c>
      <c r="E85" s="100"/>
      <c r="F85" s="100"/>
      <c r="G85" s="100"/>
      <c r="H85" s="101"/>
      <c r="I85" s="102"/>
      <c r="L85" s="182"/>
      <c r="M85" s="104"/>
      <c r="N85" s="105"/>
      <c r="O85" s="104"/>
      <c r="P85" s="106"/>
      <c r="Q85" s="104"/>
    </row>
    <row r="86" spans="1:17" s="103" customFormat="1">
      <c r="A86" s="107" t="s">
        <v>97</v>
      </c>
      <c r="B86" s="108"/>
      <c r="C86" s="108"/>
      <c r="D86" s="108">
        <f>-31978.41-33353.62</f>
        <v>-65332.03</v>
      </c>
      <c r="E86" s="109"/>
      <c r="F86" s="109"/>
      <c r="G86" s="109"/>
      <c r="H86" s="110"/>
      <c r="I86" s="111"/>
      <c r="L86" s="182"/>
      <c r="M86" s="104"/>
      <c r="N86" s="105"/>
      <c r="O86" s="104"/>
      <c r="P86" s="106"/>
      <c r="Q86" s="104"/>
    </row>
    <row r="87" spans="1:17" s="103" customFormat="1">
      <c r="A87" s="107" t="s">
        <v>98</v>
      </c>
      <c r="B87" s="108"/>
      <c r="C87" s="108"/>
      <c r="D87" s="108">
        <v>-1750</v>
      </c>
      <c r="E87" s="109"/>
      <c r="F87" s="109"/>
      <c r="G87" s="109"/>
      <c r="H87" s="110"/>
      <c r="I87" s="111"/>
      <c r="L87" s="182"/>
      <c r="M87" s="104"/>
      <c r="N87" s="105"/>
      <c r="O87" s="104"/>
      <c r="P87" s="106"/>
      <c r="Q87" s="104"/>
    </row>
    <row r="88" spans="1:17">
      <c r="A88" t="s">
        <v>99</v>
      </c>
      <c r="B88" s="27">
        <v>3500</v>
      </c>
      <c r="C88" s="27">
        <v>7000</v>
      </c>
      <c r="D88" s="27"/>
      <c r="E88" s="28"/>
      <c r="F88" s="28"/>
      <c r="G88" s="28"/>
      <c r="H88" s="29"/>
      <c r="I88" s="112">
        <v>15000</v>
      </c>
      <c r="J88"/>
      <c r="L88" s="177"/>
      <c r="M88" s="32">
        <v>10000</v>
      </c>
      <c r="N88" s="94"/>
      <c r="O88" s="113">
        <v>5000</v>
      </c>
      <c r="P88" s="114"/>
      <c r="Q88" s="113">
        <v>5000</v>
      </c>
    </row>
    <row r="89" spans="1:17">
      <c r="A89" t="s">
        <v>100</v>
      </c>
      <c r="B89" s="27"/>
      <c r="C89" s="28"/>
      <c r="E89" s="28"/>
      <c r="F89" s="28">
        <f>SUM(D89:E89)</f>
        <v>0</v>
      </c>
      <c r="G89" s="28"/>
      <c r="H89" s="29"/>
      <c r="I89" s="112">
        <v>0</v>
      </c>
      <c r="J89"/>
      <c r="L89" s="176"/>
      <c r="M89" s="115"/>
      <c r="N89" s="116"/>
      <c r="O89" s="113"/>
      <c r="P89" s="114"/>
      <c r="Q89" s="113"/>
    </row>
    <row r="90" spans="1:17">
      <c r="A90" t="s">
        <v>101</v>
      </c>
      <c r="B90" s="27"/>
      <c r="C90" s="28"/>
      <c r="E90" s="28"/>
      <c r="F90" s="28"/>
      <c r="G90" s="28"/>
      <c r="H90" s="29"/>
      <c r="I90" s="112"/>
      <c r="J90"/>
      <c r="L90" s="176"/>
      <c r="M90" s="115"/>
      <c r="N90" s="116"/>
      <c r="O90" s="115"/>
      <c r="P90" s="114"/>
      <c r="Q90" s="115"/>
    </row>
    <row r="91" spans="1:17">
      <c r="A91" t="s">
        <v>102</v>
      </c>
      <c r="B91" s="27"/>
      <c r="C91" s="28">
        <v>5000</v>
      </c>
      <c r="E91" s="28"/>
      <c r="F91" s="28"/>
      <c r="G91" s="28"/>
      <c r="H91" s="29"/>
      <c r="I91" s="112"/>
      <c r="J91" s="117"/>
      <c r="L91" s="176"/>
      <c r="M91" s="115"/>
      <c r="N91" s="116"/>
      <c r="O91" s="115"/>
      <c r="P91" s="114"/>
      <c r="Q91" s="115"/>
    </row>
    <row r="92" spans="1:17">
      <c r="A92" t="s">
        <v>103</v>
      </c>
      <c r="B92" s="27"/>
      <c r="C92" s="28"/>
      <c r="D92" s="28">
        <f>510+340+1000</f>
        <v>1850</v>
      </c>
      <c r="E92" s="28">
        <v>684</v>
      </c>
      <c r="F92" s="28"/>
      <c r="G92" s="28"/>
      <c r="H92" s="29"/>
      <c r="I92" s="112">
        <v>12000</v>
      </c>
      <c r="J92" s="116" t="s">
        <v>104</v>
      </c>
      <c r="L92" s="176"/>
      <c r="M92" s="113">
        <v>20000</v>
      </c>
      <c r="N92" s="116" t="s">
        <v>104</v>
      </c>
      <c r="O92" s="113">
        <v>25000</v>
      </c>
      <c r="P92" s="114"/>
      <c r="Q92" s="113">
        <v>25000</v>
      </c>
    </row>
    <row r="93" spans="1:17" ht="15.75">
      <c r="A93" s="118"/>
      <c r="B93" s="85"/>
      <c r="C93" s="86"/>
      <c r="D93" s="119"/>
      <c r="E93" s="119"/>
      <c r="F93" s="119"/>
      <c r="G93" s="119"/>
      <c r="H93" s="120"/>
      <c r="I93" s="121"/>
      <c r="J93" s="122"/>
      <c r="K93" s="88"/>
      <c r="L93" s="183"/>
      <c r="M93" s="123"/>
      <c r="N93" s="124"/>
      <c r="O93" s="123"/>
      <c r="P93" s="125"/>
      <c r="Q93" s="123"/>
    </row>
    <row r="94" spans="1:17" ht="15.75">
      <c r="A94" s="126" t="s">
        <v>6</v>
      </c>
      <c r="B94" s="127"/>
      <c r="C94" s="128"/>
      <c r="D94" s="129"/>
      <c r="E94" s="130"/>
      <c r="F94" s="130"/>
      <c r="G94" s="130"/>
      <c r="H94" s="130"/>
      <c r="I94" s="131"/>
      <c r="J94" s="132"/>
      <c r="K94" s="133"/>
      <c r="L94" s="184"/>
      <c r="M94" s="134"/>
      <c r="N94" s="135"/>
      <c r="O94" s="134"/>
      <c r="P94" s="136"/>
      <c r="Q94" s="134"/>
    </row>
    <row r="95" spans="1:17" ht="24" thickBot="1">
      <c r="A95" s="137" t="s">
        <v>18</v>
      </c>
      <c r="B95" s="138">
        <f t="shared" ref="B95:F95" si="13">SUM(B4:B93)</f>
        <v>94363.100000000035</v>
      </c>
      <c r="C95" s="28">
        <f t="shared" si="13"/>
        <v>71890.22</v>
      </c>
      <c r="D95" s="139">
        <f t="shared" si="13"/>
        <v>-14561.089999999997</v>
      </c>
      <c r="E95" s="139">
        <f>SUM(E4:E93)</f>
        <v>40346.325714285711</v>
      </c>
      <c r="F95" s="139">
        <f t="shared" si="13"/>
        <v>89873.605714285732</v>
      </c>
      <c r="G95" s="139">
        <f>SUM(G4:G93)</f>
        <v>8126.3942857142902</v>
      </c>
      <c r="H95" s="140"/>
      <c r="I95" s="141">
        <f>SUM(I4:I93)</f>
        <v>125500</v>
      </c>
      <c r="J95" s="142"/>
      <c r="K95" s="143"/>
      <c r="L95" s="176">
        <f>SUM(L4:L93)</f>
        <v>55494.93</v>
      </c>
      <c r="M95" s="144">
        <f>SUM(M4:M93)</f>
        <v>137750</v>
      </c>
      <c r="O95" s="144">
        <f>SUM(O4:O93)</f>
        <v>139085</v>
      </c>
      <c r="P95" s="145"/>
      <c r="Q95" s="144">
        <f>SUM(Q4:Q93)</f>
        <v>140970</v>
      </c>
    </row>
    <row r="96" spans="1:17" ht="15.75" thickTop="1">
      <c r="A96" s="146"/>
      <c r="B96" s="27"/>
      <c r="E96" s="147"/>
      <c r="F96" s="147"/>
      <c r="G96" s="147"/>
      <c r="H96" s="147"/>
      <c r="I96" s="30">
        <f>I95+I106+I107+I108+I109</f>
        <v>125201</v>
      </c>
      <c r="J96" s="142"/>
      <c r="L96" s="176"/>
      <c r="M96" s="148"/>
      <c r="O96" s="148"/>
      <c r="P96" s="149"/>
      <c r="Q96" s="148"/>
    </row>
    <row r="97" spans="1:17">
      <c r="A97" s="150" t="s">
        <v>105</v>
      </c>
      <c r="B97" s="151"/>
      <c r="C97" s="152"/>
      <c r="D97" s="129"/>
      <c r="E97" s="153"/>
      <c r="F97" s="153"/>
      <c r="G97" s="153"/>
      <c r="H97" s="153"/>
      <c r="I97" s="154">
        <f>(I95-115800)/115800</f>
        <v>8.376511226252159E-2</v>
      </c>
      <c r="J97" s="155"/>
      <c r="K97" s="150"/>
      <c r="L97" s="185"/>
      <c r="M97" s="156">
        <f>(M95-I96)/I95</f>
        <v>9.9992031872509962E-2</v>
      </c>
      <c r="O97" s="156">
        <f>(O95-M95)/M95</f>
        <v>9.6914700544464601E-3</v>
      </c>
      <c r="P97" s="157"/>
      <c r="Q97" s="156">
        <f>(Q95-O95)/O95</f>
        <v>1.355286335694E-2</v>
      </c>
    </row>
    <row r="98" spans="1:17">
      <c r="E98" s="147"/>
      <c r="F98" s="147"/>
      <c r="G98" s="147"/>
      <c r="H98" s="147"/>
      <c r="I98" s="158"/>
      <c r="J98" s="159"/>
      <c r="L98" s="176"/>
      <c r="N98" s="160" t="s">
        <v>106</v>
      </c>
    </row>
    <row r="99" spans="1:17">
      <c r="A99" s="150"/>
      <c r="E99" s="147"/>
      <c r="F99" s="147"/>
      <c r="G99" s="147"/>
      <c r="H99" s="151" t="s">
        <v>107</v>
      </c>
      <c r="I99" s="30">
        <f>I95/J110</f>
        <v>75.968523002421307</v>
      </c>
      <c r="L99" s="186" t="s">
        <v>108</v>
      </c>
      <c r="M99" s="28">
        <f>M95/L110</f>
        <v>81.220518867924525</v>
      </c>
      <c r="N99" s="160" t="s">
        <v>109</v>
      </c>
      <c r="O99" s="28">
        <f>O95/N110</f>
        <v>82.007665094339629</v>
      </c>
      <c r="P99" s="27"/>
      <c r="Q99" s="28">
        <f>Q95/N110</f>
        <v>83.119103773584911</v>
      </c>
    </row>
    <row r="100" spans="1:17">
      <c r="A100" s="146"/>
      <c r="E100" s="147"/>
      <c r="F100" s="147"/>
      <c r="G100" s="147"/>
      <c r="H100" s="161" t="s">
        <v>109</v>
      </c>
      <c r="I100" s="162">
        <f>(I99-69.8)/69.8</f>
        <v>8.8374255049015901E-2</v>
      </c>
      <c r="L100" s="184" t="s">
        <v>110</v>
      </c>
      <c r="M100" s="163">
        <f>(M99-I99)/I99</f>
        <v>6.9133841990528425E-2</v>
      </c>
      <c r="O100" s="175">
        <f>(O99-M99)/M99</f>
        <v>9.6914700544465729E-3</v>
      </c>
      <c r="P100" s="165"/>
      <c r="Q100" s="164">
        <f>(Q99-O99)/O99</f>
        <v>1.3552863356939986E-2</v>
      </c>
    </row>
    <row r="101" spans="1:17">
      <c r="A101" s="147"/>
      <c r="E101" s="147"/>
      <c r="F101" s="147"/>
      <c r="G101" s="147"/>
      <c r="H101" s="161" t="s">
        <v>111</v>
      </c>
      <c r="I101" s="166">
        <f>I99-69.8</f>
        <v>6.1685230024213098</v>
      </c>
      <c r="L101" s="184" t="s">
        <v>112</v>
      </c>
      <c r="M101" s="167">
        <f>M99-I99</f>
        <v>5.2519958655032184</v>
      </c>
      <c r="N101" s="168"/>
      <c r="O101" s="167">
        <f>O99-M99</f>
        <v>0.78714622641510346</v>
      </c>
      <c r="P101" s="169"/>
      <c r="Q101" s="167">
        <f>Q99-O99</f>
        <v>1.1114386792452819</v>
      </c>
    </row>
    <row r="102" spans="1:17">
      <c r="A102" s="147"/>
      <c r="E102" s="147"/>
      <c r="F102" s="147"/>
      <c r="G102" s="147"/>
      <c r="H102" s="170" t="s">
        <v>113</v>
      </c>
      <c r="I102" s="171">
        <f>I101/12</f>
        <v>0.51404358353510915</v>
      </c>
      <c r="L102" s="184" t="s">
        <v>113</v>
      </c>
      <c r="M102" s="167">
        <f>M101/12</f>
        <v>0.43766632212526818</v>
      </c>
      <c r="O102" s="167">
        <f>O101/12</f>
        <v>6.5595518867925293E-2</v>
      </c>
      <c r="P102" s="169"/>
      <c r="Q102" s="167">
        <f>Q101/12</f>
        <v>9.2619889937106833E-2</v>
      </c>
    </row>
    <row r="103" spans="1:17">
      <c r="A103" s="146"/>
      <c r="E103" s="147"/>
      <c r="F103" s="147"/>
      <c r="G103" s="147"/>
      <c r="H103" s="147"/>
      <c r="L103" s="176"/>
    </row>
    <row r="104" spans="1:17">
      <c r="A104" t="s">
        <v>114</v>
      </c>
      <c r="B104" s="27"/>
      <c r="D104" s="27"/>
      <c r="E104" s="28"/>
      <c r="F104" s="28"/>
      <c r="G104" s="28"/>
      <c r="H104" s="29"/>
      <c r="I104" s="30"/>
      <c r="J104"/>
      <c r="L104" s="176"/>
      <c r="M104" s="27"/>
      <c r="N104" s="33"/>
      <c r="O104" s="27"/>
      <c r="P104" s="27"/>
      <c r="Q104" s="27"/>
    </row>
    <row r="105" spans="1:17">
      <c r="A105" s="36" t="s">
        <v>115</v>
      </c>
      <c r="B105" s="27"/>
      <c r="C105" s="27">
        <v>8368.51</v>
      </c>
      <c r="D105" s="27"/>
      <c r="E105" s="28"/>
      <c r="F105" s="28"/>
      <c r="G105" s="28"/>
      <c r="H105" s="29"/>
      <c r="I105" s="30"/>
      <c r="J105"/>
      <c r="L105" s="177">
        <f>C105+SUM(D106:E109)</f>
        <v>8212.1671428571426</v>
      </c>
      <c r="M105" s="27"/>
      <c r="N105" s="33"/>
      <c r="O105" s="27"/>
      <c r="P105" s="27"/>
      <c r="Q105" s="27"/>
    </row>
    <row r="106" spans="1:17">
      <c r="A106" s="36" t="s">
        <v>116</v>
      </c>
      <c r="B106" s="27">
        <v>110.89</v>
      </c>
      <c r="C106" s="27"/>
      <c r="D106" s="27">
        <v>133.93</v>
      </c>
      <c r="E106" s="28">
        <v>780</v>
      </c>
      <c r="F106" s="28">
        <f t="shared" ref="F106:F109" si="14">SUM(D106:E106)</f>
        <v>913.93000000000006</v>
      </c>
      <c r="G106" s="45">
        <f>I106-F106</f>
        <v>299.06999999999994</v>
      </c>
      <c r="H106" s="47">
        <f>F106/I106</f>
        <v>0.75344600164880471</v>
      </c>
      <c r="I106" s="30">
        <v>1213</v>
      </c>
      <c r="J106"/>
      <c r="L106" s="27"/>
      <c r="M106" s="32">
        <v>1200</v>
      </c>
      <c r="N106" s="33"/>
      <c r="O106" s="35">
        <v>1200</v>
      </c>
      <c r="P106" s="27"/>
      <c r="Q106" s="35">
        <v>1200</v>
      </c>
    </row>
    <row r="107" spans="1:17">
      <c r="A107" s="36" t="s">
        <v>76</v>
      </c>
      <c r="B107" s="27">
        <v>442.2</v>
      </c>
      <c r="C107" s="27"/>
      <c r="D107" s="27">
        <v>160.44999999999999</v>
      </c>
      <c r="E107" s="28">
        <f>D107/7*5</f>
        <v>114.60714285714286</v>
      </c>
      <c r="F107" s="28">
        <f t="shared" si="14"/>
        <v>275.05714285714282</v>
      </c>
      <c r="G107" s="45">
        <f>I107-F107</f>
        <v>224.94285714285718</v>
      </c>
      <c r="H107" s="47">
        <f>F107/I107</f>
        <v>0.55011428571428567</v>
      </c>
      <c r="I107" s="30">
        <v>500</v>
      </c>
      <c r="J107"/>
      <c r="L107" s="27"/>
      <c r="M107" s="32">
        <v>500</v>
      </c>
      <c r="N107" s="33"/>
      <c r="O107" s="35">
        <v>500</v>
      </c>
      <c r="P107" s="27"/>
      <c r="Q107" s="35">
        <v>500</v>
      </c>
    </row>
    <row r="108" spans="1:17">
      <c r="A108" s="36" t="s">
        <v>117</v>
      </c>
      <c r="B108" s="27">
        <f>393.75*2</f>
        <v>787.5</v>
      </c>
      <c r="C108" s="27"/>
      <c r="D108" s="27">
        <v>787.5</v>
      </c>
      <c r="E108" s="28"/>
      <c r="F108" s="28">
        <f t="shared" si="14"/>
        <v>787.5</v>
      </c>
      <c r="G108" s="45">
        <f>I108-F108</f>
        <v>0.5</v>
      </c>
      <c r="H108" s="47">
        <f>F108/I108</f>
        <v>0.99936548223350252</v>
      </c>
      <c r="I108" s="30">
        <v>788</v>
      </c>
      <c r="J108"/>
      <c r="L108" s="27"/>
      <c r="M108" s="32">
        <v>800</v>
      </c>
      <c r="N108" s="33"/>
      <c r="O108" s="35">
        <v>800</v>
      </c>
      <c r="P108" s="27"/>
      <c r="Q108" s="35">
        <v>800</v>
      </c>
    </row>
    <row r="109" spans="1:17" s="88" customFormat="1">
      <c r="A109" s="84" t="s">
        <v>118</v>
      </c>
      <c r="B109" s="85">
        <v>-3111.09</v>
      </c>
      <c r="C109" s="85"/>
      <c r="D109" s="85">
        <v>-1852.83</v>
      </c>
      <c r="E109" s="85">
        <f>-220-60</f>
        <v>-280</v>
      </c>
      <c r="F109" s="28">
        <f t="shared" si="14"/>
        <v>-2132.83</v>
      </c>
      <c r="G109" s="86">
        <f>I109-F109</f>
        <v>-667.17000000000007</v>
      </c>
      <c r="H109" s="173">
        <f>F109/I109</f>
        <v>0.76172499999999999</v>
      </c>
      <c r="I109" s="87">
        <v>-2800</v>
      </c>
      <c r="L109" s="85"/>
      <c r="M109" s="89">
        <v>-2100</v>
      </c>
      <c r="N109" s="90"/>
      <c r="O109" s="91">
        <v>-2800</v>
      </c>
      <c r="P109" s="85"/>
      <c r="Q109" s="91">
        <v>-2800</v>
      </c>
    </row>
    <row r="110" spans="1:17">
      <c r="A110" s="146"/>
      <c r="B110" s="27"/>
      <c r="E110" s="147"/>
      <c r="F110" s="147"/>
      <c r="G110" s="147"/>
      <c r="H110" s="147"/>
      <c r="J110" s="36">
        <v>1652</v>
      </c>
      <c r="L110">
        <v>1696</v>
      </c>
      <c r="M110" s="28">
        <f>SUM(M106:M109)</f>
        <v>400</v>
      </c>
      <c r="N110" s="170">
        <v>1696</v>
      </c>
    </row>
    <row r="111" spans="1:17">
      <c r="A111" s="147"/>
      <c r="B111" s="27">
        <f>SUM(B95:B109)</f>
        <v>92592.600000000035</v>
      </c>
      <c r="C111" s="28">
        <f>SUM(C95:C109)</f>
        <v>80258.73</v>
      </c>
      <c r="D111" s="28">
        <f>D95-125500</f>
        <v>-140061.09</v>
      </c>
      <c r="E111" s="147"/>
      <c r="F111" s="147"/>
      <c r="G111" s="147"/>
      <c r="H111" s="147"/>
      <c r="M111" s="28"/>
      <c r="O111" s="28"/>
    </row>
    <row r="112" spans="1:17">
      <c r="A112" s="174"/>
      <c r="B112" s="27">
        <f>B111-B109-B84-B82-B81-B80-B78-B62-B32+1000</f>
        <v>120803.08000000003</v>
      </c>
      <c r="C112" s="28">
        <f>C111-C79</f>
        <v>57703.869999999995</v>
      </c>
      <c r="D112" s="28">
        <f>D111+SUM(D106:D109)</f>
        <v>-140832.04</v>
      </c>
      <c r="E112" s="147"/>
      <c r="F112" s="147"/>
      <c r="G112" s="147"/>
      <c r="H112" s="147"/>
      <c r="L112" t="s">
        <v>119</v>
      </c>
      <c r="M112" s="28">
        <f>SUM(M4:M76)+SUM(M88:M92)</f>
        <v>147270</v>
      </c>
    </row>
    <row r="113" spans="2:13">
      <c r="L113" s="172" t="s">
        <v>120</v>
      </c>
      <c r="M113" s="28">
        <f>M81+M80+M78</f>
        <v>-9520</v>
      </c>
    </row>
    <row r="114" spans="2:13">
      <c r="B114" s="27"/>
      <c r="L114" s="172" t="s">
        <v>121</v>
      </c>
      <c r="M114" s="28">
        <f>SUM(M112:M113)</f>
        <v>137750</v>
      </c>
    </row>
    <row r="115" spans="2:13">
      <c r="L115" s="172"/>
    </row>
  </sheetData>
  <mergeCells count="4">
    <mergeCell ref="H1:H3"/>
    <mergeCell ref="I34:I35"/>
    <mergeCell ref="O34:O35"/>
    <mergeCell ref="Q34:Q35"/>
  </mergeCells>
  <pageMargins left="0.24" right="0.2" top="0.48" bottom="0.48" header="0.17" footer="0.3"/>
  <pageSetup paperSize="9" scale="32" orientation="landscape" r:id="rId1"/>
  <headerFooter>
    <oddHeader>&amp;L&amp;18Brundall Parish Council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2022-23</vt:lpstr>
      <vt:lpstr>'Budget 2022-23'!Print_Area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2021-12-08T10:26:33Z</dcterms:created>
  <dcterms:modified xsi:type="dcterms:W3CDTF">2021-12-08T10:48:12Z</dcterms:modified>
</cp:coreProperties>
</file>