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1835"/>
  </bookViews>
  <sheets>
    <sheet name="Budget Rialtas" sheetId="1" r:id="rId1"/>
    <sheet name="LM Budget" sheetId="2" r:id="rId2"/>
  </sheets>
  <externalReferences>
    <externalReference r:id="rId3"/>
  </externalReferences>
  <definedNames>
    <definedName name="_xlnm.Print_Area" localSheetId="0">'Budget Rialtas'!$A$1:$R$91</definedName>
    <definedName name="_xlnm.Print_Area" localSheetId="1">'LM Budget'!$A$1:$V$29</definedName>
  </definedNames>
  <calcPr calcId="125725" concurrentCalc="0"/>
</workbook>
</file>

<file path=xl/calcChain.xml><?xml version="1.0" encoding="utf-8"?>
<calcChain xmlns="http://schemas.openxmlformats.org/spreadsheetml/2006/main">
  <c r="R83" i="1"/>
  <c r="I83"/>
  <c r="I84"/>
  <c r="B94"/>
  <c r="F94"/>
  <c r="G94"/>
  <c r="H94"/>
  <c r="E95"/>
  <c r="F95"/>
  <c r="G95"/>
  <c r="H95"/>
  <c r="B96"/>
  <c r="F96"/>
  <c r="G96"/>
  <c r="H96"/>
  <c r="F97"/>
  <c r="G97"/>
  <c r="H97"/>
  <c r="N83"/>
  <c r="N87"/>
  <c r="N88"/>
  <c r="T29" i="2"/>
  <c r="R29"/>
  <c r="P29"/>
  <c r="N29"/>
  <c r="L29"/>
  <c r="J29"/>
  <c r="H29"/>
  <c r="F29"/>
  <c r="D29"/>
  <c r="B29"/>
  <c r="AD25"/>
  <c r="AB25"/>
  <c r="AC23"/>
  <c r="AA22"/>
  <c r="Y19"/>
  <c r="Z16"/>
  <c r="Y12"/>
  <c r="Y13"/>
  <c r="Z13"/>
  <c r="T13"/>
  <c r="R5"/>
  <c r="R13"/>
  <c r="P5"/>
  <c r="P13"/>
  <c r="N5"/>
  <c r="N7"/>
  <c r="N9"/>
  <c r="N13"/>
  <c r="L13"/>
  <c r="J8"/>
  <c r="J13"/>
  <c r="H5"/>
  <c r="H8"/>
  <c r="H13"/>
  <c r="F13"/>
  <c r="D13"/>
  <c r="B13"/>
  <c r="B13" i="1"/>
  <c r="B15"/>
  <c r="B20"/>
  <c r="B25"/>
  <c r="B26"/>
  <c r="B27"/>
  <c r="B35"/>
  <c r="B44"/>
  <c r="B45"/>
  <c r="B52"/>
  <c r="B83"/>
  <c r="R87"/>
  <c r="P83"/>
  <c r="P87"/>
  <c r="R89"/>
  <c r="R90"/>
  <c r="P89"/>
  <c r="P90"/>
  <c r="N89"/>
  <c r="N90"/>
  <c r="J89"/>
  <c r="J90"/>
  <c r="I89"/>
  <c r="I90"/>
  <c r="R88"/>
  <c r="P88"/>
  <c r="J88"/>
  <c r="I88"/>
  <c r="R85"/>
  <c r="P85"/>
  <c r="J83"/>
  <c r="J84"/>
  <c r="N85"/>
  <c r="J85"/>
  <c r="I85"/>
  <c r="M34"/>
  <c r="F73"/>
  <c r="M73"/>
  <c r="M83"/>
  <c r="F4"/>
  <c r="G4"/>
  <c r="F5"/>
  <c r="G5"/>
  <c r="E6"/>
  <c r="F6"/>
  <c r="G6"/>
  <c r="F7"/>
  <c r="G7"/>
  <c r="F8"/>
  <c r="G8"/>
  <c r="F9"/>
  <c r="G9"/>
  <c r="F11"/>
  <c r="G11"/>
  <c r="F12"/>
  <c r="G12"/>
  <c r="F13"/>
  <c r="G13"/>
  <c r="F14"/>
  <c r="G14"/>
  <c r="F15"/>
  <c r="G15"/>
  <c r="F17"/>
  <c r="G17"/>
  <c r="F18"/>
  <c r="G18"/>
  <c r="F19"/>
  <c r="G19"/>
  <c r="D20"/>
  <c r="F20"/>
  <c r="G20"/>
  <c r="F21"/>
  <c r="G21"/>
  <c r="E22"/>
  <c r="F22"/>
  <c r="G22"/>
  <c r="E23"/>
  <c r="F23"/>
  <c r="G23"/>
  <c r="E24"/>
  <c r="F24"/>
  <c r="G24"/>
  <c r="F25"/>
  <c r="G25"/>
  <c r="E26"/>
  <c r="F26"/>
  <c r="G26"/>
  <c r="F27"/>
  <c r="G27"/>
  <c r="E29"/>
  <c r="F29"/>
  <c r="G29"/>
  <c r="F30"/>
  <c r="G30"/>
  <c r="F31"/>
  <c r="G31"/>
  <c r="F32"/>
  <c r="G32"/>
  <c r="F33"/>
  <c r="G33"/>
  <c r="E35"/>
  <c r="F35"/>
  <c r="G35"/>
  <c r="E36"/>
  <c r="F36"/>
  <c r="G36"/>
  <c r="D38"/>
  <c r="F38"/>
  <c r="G38"/>
  <c r="F40"/>
  <c r="G40"/>
  <c r="F41"/>
  <c r="G41"/>
  <c r="F42"/>
  <c r="G42"/>
  <c r="F44"/>
  <c r="G44"/>
  <c r="F45"/>
  <c r="G45"/>
  <c r="F48"/>
  <c r="G48"/>
  <c r="E49"/>
  <c r="F49"/>
  <c r="G49"/>
  <c r="F50"/>
  <c r="G50"/>
  <c r="F52"/>
  <c r="G52"/>
  <c r="F54"/>
  <c r="G54"/>
  <c r="D56"/>
  <c r="F56"/>
  <c r="G56"/>
  <c r="F57"/>
  <c r="G57"/>
  <c r="F58"/>
  <c r="G58"/>
  <c r="E60"/>
  <c r="F60"/>
  <c r="G60"/>
  <c r="E61"/>
  <c r="F61"/>
  <c r="G61"/>
  <c r="E62"/>
  <c r="F62"/>
  <c r="G62"/>
  <c r="E63"/>
  <c r="F63"/>
  <c r="G63"/>
  <c r="E64"/>
  <c r="F64"/>
  <c r="G64"/>
  <c r="E65"/>
  <c r="F65"/>
  <c r="G65"/>
  <c r="E66"/>
  <c r="F66"/>
  <c r="G66"/>
  <c r="F67"/>
  <c r="G67"/>
  <c r="E68"/>
  <c r="F68"/>
  <c r="G68"/>
  <c r="F69"/>
  <c r="G69"/>
  <c r="F70"/>
  <c r="G70"/>
  <c r="F71"/>
  <c r="G71"/>
  <c r="F72"/>
  <c r="G72"/>
  <c r="G73"/>
  <c r="G83"/>
  <c r="F77"/>
  <c r="F83"/>
  <c r="E83"/>
  <c r="D83"/>
  <c r="C83"/>
  <c r="H71"/>
  <c r="H70"/>
  <c r="H68"/>
  <c r="H66"/>
  <c r="H65"/>
  <c r="H64"/>
  <c r="H63"/>
  <c r="H62"/>
  <c r="H61"/>
  <c r="H60"/>
  <c r="H57"/>
  <c r="H56"/>
  <c r="H52"/>
  <c r="H50"/>
  <c r="H49"/>
  <c r="H48"/>
  <c r="H45"/>
  <c r="H44"/>
  <c r="H41"/>
  <c r="H40"/>
  <c r="H38"/>
  <c r="H36"/>
  <c r="H35"/>
  <c r="H33"/>
  <c r="H32"/>
  <c r="H31"/>
  <c r="H30"/>
  <c r="H29"/>
  <c r="H27"/>
  <c r="H26"/>
  <c r="H25"/>
  <c r="H24"/>
  <c r="H23"/>
  <c r="H22"/>
  <c r="H21"/>
  <c r="H20"/>
  <c r="H19"/>
  <c r="H18"/>
  <c r="H17"/>
  <c r="H15"/>
  <c r="H14"/>
  <c r="H13"/>
  <c r="H12"/>
  <c r="H11"/>
  <c r="H9"/>
  <c r="H8"/>
  <c r="H7"/>
  <c r="H6"/>
  <c r="H5"/>
  <c r="H4"/>
</calcChain>
</file>

<file path=xl/comments1.xml><?xml version="1.0" encoding="utf-8"?>
<comments xmlns="http://schemas.openxmlformats.org/spreadsheetml/2006/main">
  <authors>
    <author>Claudia Dickson</author>
  </authors>
  <commentList>
    <comment ref="A7" authorId="0">
      <text>
        <r>
          <rPr>
            <b/>
            <sz val="9"/>
            <color indexed="81"/>
            <rFont val="Tahoma"/>
            <family val="2"/>
          </rPr>
          <t>Claudia Dickson:</t>
        </r>
        <r>
          <rPr>
            <sz val="9"/>
            <color indexed="81"/>
            <rFont val="Tahoma"/>
            <family val="2"/>
          </rPr>
          <t xml:space="preserve">
Was called Repairs and Renewals
</t>
        </r>
      </text>
    </comment>
    <comment ref="D38" authorId="0">
      <text>
        <r>
          <rPr>
            <b/>
            <sz val="9"/>
            <color indexed="81"/>
            <rFont val="Tahoma"/>
            <family val="2"/>
          </rPr>
          <t>Claudia Dickson:</t>
        </r>
        <r>
          <rPr>
            <sz val="9"/>
            <color indexed="81"/>
            <rFont val="Tahoma"/>
            <family val="2"/>
          </rPr>
          <t xml:space="preserve">
£8515.50 = £7451 claiming from Persimmon (see below), £989.50 LEMH plans, £75 SH
Added £873 from Fees
</t>
        </r>
      </text>
    </comment>
    <comment ref="M87" authorId="0">
      <text>
        <r>
          <rPr>
            <b/>
            <sz val="9"/>
            <color indexed="81"/>
            <rFont val="Tahoma"/>
            <family val="2"/>
          </rPr>
          <t>Claudia Dickson:</t>
        </r>
        <r>
          <rPr>
            <sz val="9"/>
            <color indexed="81"/>
            <rFont val="Tahoma"/>
            <family val="2"/>
          </rPr>
          <t xml:space="preserve">
Provisional as at 17/12/2020</t>
        </r>
      </text>
    </comment>
  </commentList>
</comments>
</file>

<file path=xl/comments2.xml><?xml version="1.0" encoding="utf-8"?>
<comments xmlns="http://schemas.openxmlformats.org/spreadsheetml/2006/main">
  <authors>
    <author>Claudia Dickson</author>
  </authors>
  <commentList>
    <comment ref="P6" authorId="0">
      <text>
        <r>
          <rPr>
            <b/>
            <sz val="9"/>
            <color indexed="81"/>
            <rFont val="Tahoma"/>
            <family val="2"/>
          </rPr>
          <t>Claudia Dickson:</t>
        </r>
        <r>
          <rPr>
            <sz val="9"/>
            <color indexed="81"/>
            <rFont val="Tahoma"/>
            <family val="2"/>
          </rPr>
          <t xml:space="preserve">
Now included in budget for each piece of land</t>
        </r>
      </text>
    </comment>
  </commentList>
</comments>
</file>

<file path=xl/sharedStrings.xml><?xml version="1.0" encoding="utf-8"?>
<sst xmlns="http://schemas.openxmlformats.org/spreadsheetml/2006/main" count="187" uniqueCount="129">
  <si>
    <t>Reserves</t>
  </si>
  <si>
    <t>Spent/</t>
  </si>
  <si>
    <t>Projected</t>
  </si>
  <si>
    <t>Difference</t>
  </si>
  <si>
    <t>% over/under</t>
  </si>
  <si>
    <t>Budget</t>
  </si>
  <si>
    <t>Figs in red are income</t>
  </si>
  <si>
    <t>Actuals</t>
  </si>
  <si>
    <t>held at end</t>
  </si>
  <si>
    <t>received</t>
  </si>
  <si>
    <t>Total spend</t>
  </si>
  <si>
    <t>(-/+)</t>
  </si>
  <si>
    <t>2020-21</t>
  </si>
  <si>
    <t>Comments</t>
  </si>
  <si>
    <t>expected at end</t>
  </si>
  <si>
    <t>2021-22</t>
  </si>
  <si>
    <t>2022-23</t>
  </si>
  <si>
    <t>2023-24</t>
  </si>
  <si>
    <t>Figs in black are expenditure</t>
  </si>
  <si>
    <t>2019-20</t>
  </si>
  <si>
    <t>to 8-11-20</t>
  </si>
  <si>
    <t>to 31-3-21</t>
  </si>
  <si>
    <t>Rialtas</t>
  </si>
  <si>
    <t>Chairman's Allowance</t>
  </si>
  <si>
    <t>Members Expenses</t>
  </si>
  <si>
    <t>Handyman</t>
  </si>
  <si>
    <t xml:space="preserve">Repairs and Maintenance </t>
  </si>
  <si>
    <r>
      <t xml:space="preserve">Refuse Collection - </t>
    </r>
    <r>
      <rPr>
        <sz val="11"/>
        <color rgb="FF00B0F0"/>
        <rFont val="Calibri"/>
        <family val="2"/>
        <scheme val="minor"/>
      </rPr>
      <t>new for 2020</t>
    </r>
  </si>
  <si>
    <t>New grit bin/waste bins</t>
  </si>
  <si>
    <t>Fees/Insurances/Subscriptions</t>
  </si>
  <si>
    <t>Insurance</t>
  </si>
  <si>
    <t>Professional Fees</t>
  </si>
  <si>
    <t>Subscriptions &amp; Memberships</t>
  </si>
  <si>
    <t>Planning fees</t>
  </si>
  <si>
    <t>Audit fees</t>
  </si>
  <si>
    <t>Office administration</t>
  </si>
  <si>
    <t>Mileage</t>
  </si>
  <si>
    <t>Office equipment</t>
  </si>
  <si>
    <t>Office equipment maintenance</t>
  </si>
  <si>
    <t>Stationery</t>
  </si>
  <si>
    <t>postage</t>
  </si>
  <si>
    <t>printing</t>
  </si>
  <si>
    <t>telephone</t>
  </si>
  <si>
    <t>mobile</t>
  </si>
  <si>
    <t>IT (inc website)</t>
  </si>
  <si>
    <t>incl addtnl Cem Mgr for Rialtas (optional)</t>
  </si>
  <si>
    <t>rent</t>
  </si>
  <si>
    <r>
      <t xml:space="preserve">Room hire - </t>
    </r>
    <r>
      <rPr>
        <sz val="11"/>
        <color rgb="FF00B0F0"/>
        <rFont val="Calibri"/>
        <family val="2"/>
        <scheme val="minor"/>
      </rPr>
      <t>new for 2020</t>
    </r>
  </si>
  <si>
    <r>
      <t xml:space="preserve">Accounts package - </t>
    </r>
    <r>
      <rPr>
        <sz val="11"/>
        <color rgb="FF00B0F0"/>
        <rFont val="Calibri"/>
        <family val="2"/>
        <scheme val="minor"/>
      </rPr>
      <t>new for 2020</t>
    </r>
  </si>
  <si>
    <t>see IT (inc website)</t>
  </si>
  <si>
    <t>Parish Clerks</t>
  </si>
  <si>
    <t>Training</t>
  </si>
  <si>
    <t>Donations - S137</t>
  </si>
  <si>
    <t>Grants</t>
  </si>
  <si>
    <t>Youth Fund</t>
  </si>
  <si>
    <t>Street Lighting</t>
  </si>
  <si>
    <t>Electricity</t>
  </si>
  <si>
    <t>Contingencies</t>
  </si>
  <si>
    <t>Projects</t>
  </si>
  <si>
    <t xml:space="preserve"> </t>
  </si>
  <si>
    <r>
      <t xml:space="preserve">CDROB - </t>
    </r>
    <r>
      <rPr>
        <sz val="11"/>
        <color rgb="FF00B0F0"/>
        <rFont val="Calibri"/>
        <family val="2"/>
        <scheme val="minor"/>
      </rPr>
      <t>new for 2021</t>
    </r>
  </si>
  <si>
    <t>Land Management</t>
  </si>
  <si>
    <t>Allotments removed</t>
  </si>
  <si>
    <t>Play equipment</t>
  </si>
  <si>
    <t>Play equipment now in Asset accrual</t>
  </si>
  <si>
    <t>Playground reserve</t>
  </si>
  <si>
    <t>Countryside Park</t>
  </si>
  <si>
    <t>provision</t>
  </si>
  <si>
    <t>Cemetery</t>
  </si>
  <si>
    <t>water</t>
  </si>
  <si>
    <t>tree management</t>
  </si>
  <si>
    <t>Cremer's</t>
  </si>
  <si>
    <t>Cremers reserve</t>
  </si>
  <si>
    <t>Church Fen</t>
  </si>
  <si>
    <t>Boardwalk repair now in Asset accrual</t>
  </si>
  <si>
    <t>Cremers reserve - Cable's donation</t>
  </si>
  <si>
    <t>Grass cutting</t>
  </si>
  <si>
    <t>Delegated Function</t>
  </si>
  <si>
    <t>Memorial Hall</t>
  </si>
  <si>
    <t>Meadow View</t>
  </si>
  <si>
    <t>Cemetery reserve</t>
  </si>
  <si>
    <t>General Fund Reserves</t>
  </si>
  <si>
    <t>Interest savings</t>
  </si>
  <si>
    <t>Del Functions grass</t>
  </si>
  <si>
    <t>Forestry grant</t>
  </si>
  <si>
    <t>S106 reserve</t>
  </si>
  <si>
    <t>S106 from BDC</t>
  </si>
  <si>
    <t>S106 expenditure</t>
  </si>
  <si>
    <t>Accrual for traffic management</t>
  </si>
  <si>
    <t>LEMH</t>
  </si>
  <si>
    <t>Persimmon claim</t>
  </si>
  <si>
    <t>PRoW</t>
  </si>
  <si>
    <t>Asset maintenance and replacement - see asset register</t>
  </si>
  <si>
    <t>Includes repair of assets during the year</t>
  </si>
  <si>
    <t>Percentage (%) increase from previous year</t>
  </si>
  <si>
    <t>2020-21 1659 properties</t>
  </si>
  <si>
    <t>2019-20 Band D £59.79</t>
  </si>
  <si>
    <t>2020-21 Band D £69.80</t>
  </si>
  <si>
    <t>2018-19 Band D £53.10</t>
  </si>
  <si>
    <t>increase per month</t>
  </si>
  <si>
    <t>Allotments</t>
  </si>
  <si>
    <t>reserve</t>
  </si>
  <si>
    <t>Repairs &amp; Maintenance</t>
  </si>
  <si>
    <t>land rent</t>
  </si>
  <si>
    <t>Allotment rental</t>
  </si>
  <si>
    <t>Current</t>
  </si>
  <si>
    <t>Expenditure</t>
  </si>
  <si>
    <t>2014-15</t>
  </si>
  <si>
    <t>2015-16</t>
  </si>
  <si>
    <t>2016-17</t>
  </si>
  <si>
    <t>2017-18</t>
  </si>
  <si>
    <t>2018-19</t>
  </si>
  <si>
    <t>to date</t>
  </si>
  <si>
    <t>Cemetery costs</t>
  </si>
  <si>
    <t>Trees</t>
  </si>
  <si>
    <t>Countryside Park costs</t>
  </si>
  <si>
    <t>Cremer's meadow - precept only</t>
  </si>
  <si>
    <t>Park Run</t>
  </si>
  <si>
    <t>Land Costs Contingencies</t>
  </si>
  <si>
    <t>Projects from reserves:</t>
  </si>
  <si>
    <t>Cremer's meadow</t>
  </si>
  <si>
    <t>Meadow View Play Area</t>
  </si>
  <si>
    <t>Cremer's Cable's donation</t>
  </si>
  <si>
    <t>S106 - Cremer's Meadow</t>
  </si>
  <si>
    <t>S106 - Countryside Park</t>
  </si>
  <si>
    <t>S106 - Allotments</t>
  </si>
  <si>
    <t>Total Expenditure</t>
  </si>
  <si>
    <t>disagregated to cost centres</t>
  </si>
  <si>
    <t>2021-22 1652 properties</t>
  </si>
</sst>
</file>

<file path=xl/styles.xml><?xml version="1.0" encoding="utf-8"?>
<styleSheet xmlns="http://schemas.openxmlformats.org/spreadsheetml/2006/main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;[Red]#,##0.00"/>
    <numFmt numFmtId="165" formatCode="_-* #,##0.00_-;\-* #,##0.00_-;_-* &quot;-&quot;??_-;_-@_-"/>
    <numFmt numFmtId="166" formatCode="0.0%"/>
    <numFmt numFmtId="167" formatCode="&quot;£&quot;#,##0.00;[Red]\-&quot;£&quot;#,##0.00"/>
    <numFmt numFmtId="168" formatCode="&quot;£&quot;#,##0.00;[Red]&quot;£&quot;#,##0.00"/>
    <numFmt numFmtId="169" formatCode="[$£-809]#,##0.00"/>
    <numFmt numFmtId="170" formatCode="&quot;£&quot;#,##0.00"/>
    <numFmt numFmtId="171" formatCode="_-* #,##0.00_-;\-* #,##0.00_-;_-* \-??_-;_-@_-"/>
    <numFmt numFmtId="172" formatCode="_-&quot;£&quot;* #,##0.00_-;\-&quot;£&quot;* #,##0.00_-;_-&quot;£&quot;* &quot;-&quot;??_-;_-@_-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FF0000"/>
      <name val="Arial"/>
      <family val="2"/>
    </font>
    <font>
      <sz val="14"/>
      <color theme="1"/>
      <name val="Arial"/>
      <family val="2"/>
    </font>
    <font>
      <sz val="11"/>
      <color theme="5" tint="-0.249977111117893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14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1"/>
      <name val="Calibri"/>
      <family val="2"/>
      <scheme val="minor"/>
    </font>
    <font>
      <sz val="11"/>
      <color theme="1"/>
      <name val="Calibri"/>
      <family val="2"/>
      <charset val="1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171" fontId="23" fillId="0" borderId="0"/>
    <xf numFmtId="0" fontId="2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27" fillId="0" borderId="0" applyFont="0" applyFill="0" applyBorder="0" applyAlignment="0" applyProtection="0"/>
    <xf numFmtId="44" fontId="31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</cellStyleXfs>
  <cellXfs count="208">
    <xf numFmtId="0" fontId="0" fillId="0" borderId="0" xfId="0"/>
    <xf numFmtId="0" fontId="4" fillId="0" borderId="0" xfId="0" applyFont="1"/>
    <xf numFmtId="0" fontId="5" fillId="0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left" indent="1"/>
    </xf>
    <xf numFmtId="0" fontId="5" fillId="3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65" fontId="7" fillId="0" borderId="0" xfId="0" applyNumberFormat="1" applyFont="1"/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indent="1"/>
    </xf>
    <xf numFmtId="0" fontId="6" fillId="0" borderId="0" xfId="0" applyFont="1"/>
    <xf numFmtId="0" fontId="8" fillId="0" borderId="0" xfId="0" applyFont="1"/>
    <xf numFmtId="17" fontId="5" fillId="0" borderId="1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7" fontId="5" fillId="0" borderId="1" xfId="0" applyNumberFormat="1" applyFont="1" applyBorder="1" applyAlignment="1">
      <alignment horizontal="right"/>
    </xf>
    <xf numFmtId="0" fontId="6" fillId="3" borderId="1" xfId="0" applyFont="1" applyFill="1" applyBorder="1"/>
    <xf numFmtId="0" fontId="6" fillId="0" borderId="0" xfId="0" applyFont="1" applyFill="1" applyBorder="1" applyAlignment="1">
      <alignment horizontal="left" indent="1"/>
    </xf>
    <xf numFmtId="0" fontId="6" fillId="0" borderId="0" xfId="0" applyFont="1" applyFill="1" applyBorder="1"/>
    <xf numFmtId="164" fontId="0" fillId="0" borderId="0" xfId="0" applyNumberFormat="1" applyFill="1"/>
    <xf numFmtId="164" fontId="0" fillId="0" borderId="0" xfId="0" applyNumberFormat="1"/>
    <xf numFmtId="9" fontId="0" fillId="0" borderId="0" xfId="0" applyNumberFormat="1"/>
    <xf numFmtId="164" fontId="0" fillId="2" borderId="0" xfId="0" applyNumberFormat="1" applyFill="1"/>
    <xf numFmtId="164" fontId="0" fillId="4" borderId="0" xfId="0" applyNumberFormat="1" applyFill="1"/>
    <xf numFmtId="164" fontId="0" fillId="3" borderId="0" xfId="0" applyNumberFormat="1" applyFill="1"/>
    <xf numFmtId="164" fontId="0" fillId="0" borderId="0" xfId="0" applyNumberFormat="1" applyFill="1" applyAlignment="1">
      <alignment horizontal="left" indent="1"/>
    </xf>
    <xf numFmtId="164" fontId="0" fillId="2" borderId="0" xfId="0" applyNumberFormat="1" applyFill="1" applyAlignment="1">
      <alignment vertical="center"/>
    </xf>
    <xf numFmtId="164" fontId="0" fillId="4" borderId="0" xfId="0" applyNumberFormat="1" applyFill="1" applyAlignment="1">
      <alignment vertical="center"/>
    </xf>
    <xf numFmtId="0" fontId="0" fillId="0" borderId="2" xfId="0" applyBorder="1"/>
    <xf numFmtId="164" fontId="0" fillId="0" borderId="3" xfId="0" applyNumberFormat="1" applyFill="1" applyBorder="1"/>
    <xf numFmtId="164" fontId="0" fillId="0" borderId="3" xfId="0" applyNumberFormat="1" applyBorder="1"/>
    <xf numFmtId="9" fontId="0" fillId="0" borderId="3" xfId="0" applyNumberFormat="1" applyBorder="1"/>
    <xf numFmtId="164" fontId="0" fillId="2" borderId="3" xfId="0" applyNumberFormat="1" applyFill="1" applyBorder="1"/>
    <xf numFmtId="164" fontId="0" fillId="2" borderId="4" xfId="0" applyNumberFormat="1" applyFill="1" applyBorder="1"/>
    <xf numFmtId="164" fontId="0" fillId="3" borderId="5" xfId="0" applyNumberFormat="1" applyFill="1" applyBorder="1"/>
    <xf numFmtId="0" fontId="0" fillId="0" borderId="6" xfId="0" applyBorder="1" applyAlignment="1">
      <alignment horizontal="left" indent="1"/>
    </xf>
    <xf numFmtId="164" fontId="0" fillId="0" borderId="0" xfId="0" applyNumberFormat="1" applyFill="1" applyBorder="1"/>
    <xf numFmtId="164" fontId="0" fillId="0" borderId="0" xfId="0" applyNumberFormat="1" applyBorder="1"/>
    <xf numFmtId="9" fontId="0" fillId="0" borderId="0" xfId="0" applyNumberFormat="1" applyBorder="1"/>
    <xf numFmtId="164" fontId="0" fillId="2" borderId="0" xfId="0" applyNumberFormat="1" applyFill="1" applyBorder="1"/>
    <xf numFmtId="164" fontId="0" fillId="4" borderId="7" xfId="0" applyNumberFormat="1" applyFill="1" applyBorder="1"/>
    <xf numFmtId="164" fontId="0" fillId="3" borderId="8" xfId="0" applyNumberFormat="1" applyFill="1" applyBorder="1"/>
    <xf numFmtId="0" fontId="0" fillId="0" borderId="9" xfId="0" applyBorder="1" applyAlignment="1">
      <alignment horizontal="left" indent="1"/>
    </xf>
    <xf numFmtId="164" fontId="0" fillId="0" borderId="1" xfId="0" applyNumberFormat="1" applyFill="1" applyBorder="1"/>
    <xf numFmtId="164" fontId="0" fillId="0" borderId="1" xfId="0" applyNumberFormat="1" applyBorder="1"/>
    <xf numFmtId="9" fontId="0" fillId="0" borderId="1" xfId="0" applyNumberFormat="1" applyBorder="1"/>
    <xf numFmtId="164" fontId="0" fillId="2" borderId="1" xfId="0" applyNumberFormat="1" applyFill="1" applyBorder="1"/>
    <xf numFmtId="164" fontId="0" fillId="4" borderId="10" xfId="0" applyNumberFormat="1" applyFill="1" applyBorder="1"/>
    <xf numFmtId="164" fontId="0" fillId="3" borderId="11" xfId="0" applyNumberFormat="1" applyFill="1" applyBorder="1"/>
    <xf numFmtId="164" fontId="0" fillId="0" borderId="3" xfId="0" applyNumberFormat="1" applyBorder="1" applyAlignment="1">
      <alignment vertical="center"/>
    </xf>
    <xf numFmtId="9" fontId="0" fillId="0" borderId="3" xfId="0" applyNumberFormat="1" applyBorder="1" applyAlignment="1">
      <alignment vertical="center"/>
    </xf>
    <xf numFmtId="164" fontId="0" fillId="2" borderId="3" xfId="0" applyNumberFormat="1" applyFill="1" applyBorder="1" applyAlignment="1">
      <alignment vertical="center"/>
    </xf>
    <xf numFmtId="164" fontId="0" fillId="2" borderId="4" xfId="0" applyNumberFormat="1" applyFill="1" applyBorder="1" applyAlignment="1">
      <alignment vertical="center"/>
    </xf>
    <xf numFmtId="164" fontId="0" fillId="2" borderId="0" xfId="0" applyNumberFormat="1" applyFill="1" applyBorder="1" applyAlignment="1">
      <alignment vertical="center"/>
    </xf>
    <xf numFmtId="164" fontId="0" fillId="4" borderId="7" xfId="0" applyNumberFormat="1" applyFill="1" applyBorder="1" applyAlignment="1">
      <alignment vertical="center"/>
    </xf>
    <xf numFmtId="0" fontId="0" fillId="0" borderId="0" xfId="0" applyAlignment="1">
      <alignment horizontal="left" indent="1"/>
    </xf>
    <xf numFmtId="164" fontId="0" fillId="2" borderId="1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0" borderId="0" xfId="0" applyNumberFormat="1" applyAlignment="1">
      <alignment vertical="center"/>
    </xf>
    <xf numFmtId="9" fontId="0" fillId="0" borderId="0" xfId="0" applyNumberFormat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3" borderId="5" xfId="0" applyNumberFormat="1" applyFill="1" applyBorder="1" applyAlignment="1">
      <alignment vertical="center"/>
    </xf>
    <xf numFmtId="0" fontId="0" fillId="0" borderId="6" xfId="0" applyBorder="1"/>
    <xf numFmtId="164" fontId="0" fillId="2" borderId="7" xfId="0" applyNumberFormat="1" applyFill="1" applyBorder="1"/>
    <xf numFmtId="164" fontId="0" fillId="3" borderId="8" xfId="0" applyNumberFormat="1" applyFill="1" applyBorder="1" applyAlignment="1">
      <alignment vertical="center"/>
    </xf>
    <xf numFmtId="164" fontId="0" fillId="0" borderId="0" xfId="0" applyNumberFormat="1" applyBorder="1" applyAlignment="1">
      <alignment vertical="center"/>
    </xf>
    <xf numFmtId="9" fontId="0" fillId="0" borderId="0" xfId="0" applyNumberFormat="1" applyBorder="1" applyAlignment="1">
      <alignment vertical="center"/>
    </xf>
    <xf numFmtId="164" fontId="0" fillId="2" borderId="7" xfId="0" applyNumberFormat="1" applyFill="1" applyBorder="1" applyAlignment="1">
      <alignment vertical="center"/>
    </xf>
    <xf numFmtId="164" fontId="0" fillId="2" borderId="10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5" fontId="2" fillId="0" borderId="0" xfId="0" applyNumberFormat="1" applyFont="1"/>
    <xf numFmtId="164" fontId="2" fillId="0" borderId="0" xfId="0" applyNumberFormat="1" applyFont="1" applyFill="1"/>
    <xf numFmtId="164" fontId="2" fillId="0" borderId="0" xfId="0" applyNumberFormat="1" applyFont="1"/>
    <xf numFmtId="9" fontId="2" fillId="0" borderId="0" xfId="0" applyNumberFormat="1" applyFont="1"/>
    <xf numFmtId="164" fontId="2" fillId="2" borderId="0" xfId="0" applyNumberFormat="1" applyFont="1" applyFill="1"/>
    <xf numFmtId="164" fontId="2" fillId="4" borderId="0" xfId="0" applyNumberFormat="1" applyFont="1" applyFill="1"/>
    <xf numFmtId="0" fontId="2" fillId="0" borderId="0" xfId="0" applyFont="1"/>
    <xf numFmtId="164" fontId="2" fillId="3" borderId="0" xfId="0" applyNumberFormat="1" applyFont="1" applyFill="1"/>
    <xf numFmtId="164" fontId="2" fillId="0" borderId="0" xfId="0" applyNumberFormat="1" applyFont="1" applyFill="1" applyAlignment="1">
      <alignment horizontal="left" indent="1"/>
    </xf>
    <xf numFmtId="2" fontId="0" fillId="2" borderId="3" xfId="0" applyNumberFormat="1" applyFill="1" applyBorder="1"/>
    <xf numFmtId="2" fontId="0" fillId="2" borderId="4" xfId="0" applyNumberFormat="1" applyFill="1" applyBorder="1"/>
    <xf numFmtId="2" fontId="0" fillId="3" borderId="0" xfId="0" applyNumberFormat="1" applyFill="1"/>
    <xf numFmtId="2" fontId="0" fillId="0" borderId="0" xfId="0" applyNumberFormat="1" applyFill="1" applyAlignment="1">
      <alignment horizontal="left" indent="1"/>
    </xf>
    <xf numFmtId="2" fontId="0" fillId="0" borderId="0" xfId="0" applyNumberFormat="1" applyFill="1"/>
    <xf numFmtId="165" fontId="2" fillId="0" borderId="6" xfId="0" applyNumberFormat="1" applyFont="1" applyBorder="1"/>
    <xf numFmtId="2" fontId="0" fillId="2" borderId="0" xfId="0" applyNumberFormat="1" applyFill="1" applyBorder="1"/>
    <xf numFmtId="2" fontId="0" fillId="2" borderId="7" xfId="0" applyNumberFormat="1" applyFill="1" applyBorder="1"/>
    <xf numFmtId="165" fontId="12" fillId="0" borderId="9" xfId="0" applyNumberFormat="1" applyFont="1" applyBorder="1"/>
    <xf numFmtId="164" fontId="12" fillId="0" borderId="1" xfId="0" applyNumberFormat="1" applyFont="1" applyFill="1" applyBorder="1"/>
    <xf numFmtId="164" fontId="12" fillId="0" borderId="1" xfId="0" applyNumberFormat="1" applyFont="1" applyBorder="1"/>
    <xf numFmtId="9" fontId="12" fillId="0" borderId="1" xfId="0" applyNumberFormat="1" applyFont="1" applyBorder="1"/>
    <xf numFmtId="2" fontId="12" fillId="2" borderId="1" xfId="0" applyNumberFormat="1" applyFont="1" applyFill="1" applyBorder="1"/>
    <xf numFmtId="2" fontId="12" fillId="2" borderId="10" xfId="0" applyNumberFormat="1" applyFont="1" applyFill="1" applyBorder="1"/>
    <xf numFmtId="0" fontId="12" fillId="0" borderId="0" xfId="0" applyFont="1"/>
    <xf numFmtId="164" fontId="12" fillId="0" borderId="0" xfId="0" applyNumberFormat="1" applyFont="1" applyFill="1"/>
    <xf numFmtId="2" fontId="12" fillId="3" borderId="0" xfId="0" applyNumberFormat="1" applyFont="1" applyFill="1"/>
    <xf numFmtId="2" fontId="12" fillId="0" borderId="0" xfId="0" applyNumberFormat="1" applyFont="1" applyFill="1" applyAlignment="1">
      <alignment horizontal="left" indent="1"/>
    </xf>
    <xf numFmtId="2" fontId="12" fillId="0" borderId="0" xfId="0" applyNumberFormat="1" applyFont="1" applyFill="1"/>
    <xf numFmtId="2" fontId="0" fillId="2" borderId="0" xfId="0" applyNumberFormat="1" applyFill="1"/>
    <xf numFmtId="2" fontId="0" fillId="4" borderId="0" xfId="0" applyNumberFormat="1" applyFill="1"/>
    <xf numFmtId="4" fontId="0" fillId="3" borderId="0" xfId="0" applyNumberFormat="1" applyFill="1"/>
    <xf numFmtId="4" fontId="0" fillId="0" borderId="0" xfId="0" applyNumberFormat="1" applyFill="1"/>
    <xf numFmtId="4" fontId="0" fillId="0" borderId="0" xfId="0" applyNumberFormat="1" applyFill="1" applyAlignment="1">
      <alignment horizontal="left" indent="1"/>
    </xf>
    <xf numFmtId="165" fontId="13" fillId="0" borderId="1" xfId="0" applyNumberFormat="1" applyFont="1" applyBorder="1"/>
    <xf numFmtId="164" fontId="2" fillId="0" borderId="1" xfId="0" applyNumberFormat="1" applyFont="1" applyBorder="1"/>
    <xf numFmtId="2" fontId="2" fillId="0" borderId="1" xfId="0" applyNumberFormat="1" applyFont="1" applyBorder="1"/>
    <xf numFmtId="164" fontId="2" fillId="2" borderId="1" xfId="0" applyNumberFormat="1" applyFont="1" applyFill="1" applyBorder="1"/>
    <xf numFmtId="164" fontId="2" fillId="3" borderId="1" xfId="0" applyNumberFormat="1" applyFont="1" applyFill="1" applyBorder="1"/>
    <xf numFmtId="0" fontId="0" fillId="0" borderId="1" xfId="0" applyBorder="1" applyAlignment="1">
      <alignment horizontal="left" indent="1"/>
    </xf>
    <xf numFmtId="164" fontId="2" fillId="0" borderId="1" xfId="0" applyNumberFormat="1" applyFont="1" applyFill="1" applyBorder="1"/>
    <xf numFmtId="165" fontId="14" fillId="0" borderId="0" xfId="0" applyNumberFormat="1" applyFont="1"/>
    <xf numFmtId="164" fontId="0" fillId="0" borderId="3" xfId="0" applyNumberFormat="1" applyFill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3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3" fillId="3" borderId="0" xfId="0" applyNumberFormat="1" applyFont="1" applyFill="1" applyAlignment="1">
      <alignment horizontal="right"/>
    </xf>
    <xf numFmtId="0" fontId="3" fillId="0" borderId="0" xfId="0" applyFont="1" applyAlignment="1">
      <alignment horizontal="left" indent="1"/>
    </xf>
    <xf numFmtId="2" fontId="3" fillId="0" borderId="0" xfId="0" applyNumberFormat="1" applyFont="1" applyFill="1" applyAlignment="1">
      <alignment horizontal="right"/>
    </xf>
    <xf numFmtId="0" fontId="15" fillId="0" borderId="0" xfId="0" applyFont="1"/>
    <xf numFmtId="164" fontId="16" fillId="0" borderId="0" xfId="0" applyNumberFormat="1" applyFont="1" applyFill="1" applyAlignment="1">
      <alignment horizontal="right"/>
    </xf>
    <xf numFmtId="164" fontId="16" fillId="0" borderId="0" xfId="0" applyNumberFormat="1" applyFont="1" applyAlignment="1">
      <alignment horizontal="right"/>
    </xf>
    <xf numFmtId="2" fontId="17" fillId="0" borderId="0" xfId="0" applyNumberFormat="1" applyFont="1" applyAlignment="1">
      <alignment horizontal="right"/>
    </xf>
    <xf numFmtId="164" fontId="16" fillId="2" borderId="12" xfId="0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64" fontId="16" fillId="3" borderId="12" xfId="0" applyNumberFormat="1" applyFont="1" applyFill="1" applyBorder="1" applyAlignment="1">
      <alignment horizontal="right"/>
    </xf>
    <xf numFmtId="164" fontId="16" fillId="0" borderId="0" xfId="0" applyNumberFormat="1" applyFont="1" applyFill="1" applyBorder="1" applyAlignment="1">
      <alignment horizontal="right"/>
    </xf>
    <xf numFmtId="0" fontId="19" fillId="0" borderId="0" xfId="0" applyFont="1"/>
    <xf numFmtId="0" fontId="0" fillId="0" borderId="0" xfId="0" applyFill="1"/>
    <xf numFmtId="2" fontId="0" fillId="0" borderId="0" xfId="0" applyNumberFormat="1"/>
    <xf numFmtId="10" fontId="0" fillId="0" borderId="0" xfId="0" applyNumberFormat="1"/>
    <xf numFmtId="10" fontId="0" fillId="0" borderId="0" xfId="0" applyNumberFormat="1" applyFill="1"/>
    <xf numFmtId="0" fontId="3" fillId="0" borderId="0" xfId="0" applyFont="1"/>
    <xf numFmtId="0" fontId="3" fillId="0" borderId="0" xfId="0" applyFont="1" applyFill="1" applyAlignment="1">
      <alignment horizontal="right"/>
    </xf>
    <xf numFmtId="0" fontId="3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0" fontId="3" fillId="2" borderId="0" xfId="2" applyNumberFormat="1" applyFont="1" applyFill="1"/>
    <xf numFmtId="10" fontId="3" fillId="6" borderId="0" xfId="0" applyNumberFormat="1" applyFont="1" applyFill="1"/>
    <xf numFmtId="10" fontId="3" fillId="0" borderId="0" xfId="0" applyNumberFormat="1" applyFont="1" applyFill="1"/>
    <xf numFmtId="164" fontId="0" fillId="5" borderId="0" xfId="0" applyNumberFormat="1" applyFill="1"/>
    <xf numFmtId="167" fontId="3" fillId="0" borderId="0" xfId="0" applyNumberFormat="1" applyFont="1" applyFill="1" applyAlignment="1">
      <alignment horizontal="right"/>
    </xf>
    <xf numFmtId="166" fontId="1" fillId="2" borderId="0" xfId="2" applyNumberFormat="1" applyFill="1"/>
    <xf numFmtId="166" fontId="1" fillId="0" borderId="0" xfId="2" applyNumberFormat="1"/>
    <xf numFmtId="9" fontId="1" fillId="0" borderId="0" xfId="2"/>
    <xf numFmtId="9" fontId="1" fillId="0" borderId="0" xfId="2" applyFill="1"/>
    <xf numFmtId="168" fontId="0" fillId="2" borderId="0" xfId="0" applyNumberFormat="1" applyFill="1"/>
    <xf numFmtId="169" fontId="0" fillId="0" borderId="0" xfId="0" applyNumberFormat="1"/>
    <xf numFmtId="169" fontId="0" fillId="0" borderId="0" xfId="0" applyNumberFormat="1" applyAlignment="1">
      <alignment horizontal="left" indent="1"/>
    </xf>
    <xf numFmtId="169" fontId="0" fillId="0" borderId="0" xfId="0" applyNumberFormat="1" applyFill="1"/>
    <xf numFmtId="0" fontId="0" fillId="0" borderId="0" xfId="0" applyAlignment="1">
      <alignment horizontal="right" indent="1"/>
    </xf>
    <xf numFmtId="170" fontId="0" fillId="2" borderId="0" xfId="0" applyNumberFormat="1" applyFill="1"/>
    <xf numFmtId="0" fontId="0" fillId="2" borderId="0" xfId="0" applyFill="1"/>
    <xf numFmtId="165" fontId="0" fillId="0" borderId="0" xfId="0" applyNumberFormat="1"/>
    <xf numFmtId="0" fontId="22" fillId="0" borderId="0" xfId="0" applyFont="1"/>
    <xf numFmtId="4" fontId="0" fillId="0" borderId="0" xfId="0" applyNumberFormat="1"/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0" fontId="24" fillId="0" borderId="0" xfId="3" applyFont="1"/>
    <xf numFmtId="0" fontId="25" fillId="0" borderId="0" xfId="0" applyFont="1" applyAlignment="1">
      <alignment horizontal="center"/>
    </xf>
    <xf numFmtId="4" fontId="3" fillId="0" borderId="0" xfId="0" applyNumberFormat="1" applyFont="1" applyFill="1" applyAlignment="1">
      <alignment horizontal="center"/>
    </xf>
    <xf numFmtId="0" fontId="26" fillId="0" borderId="0" xfId="3" applyFont="1"/>
    <xf numFmtId="171" fontId="23" fillId="0" borderId="0" xfId="4"/>
    <xf numFmtId="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71" fontId="26" fillId="0" borderId="0" xfId="4" applyFont="1"/>
    <xf numFmtId="165" fontId="12" fillId="0" borderId="0" xfId="0" applyNumberFormat="1" applyFont="1"/>
    <xf numFmtId="39" fontId="12" fillId="0" borderId="0" xfId="0" applyNumberFormat="1" applyFont="1"/>
    <xf numFmtId="39" fontId="27" fillId="0" borderId="0" xfId="5" applyNumberFormat="1"/>
    <xf numFmtId="0" fontId="28" fillId="0" borderId="0" xfId="0" applyFont="1"/>
    <xf numFmtId="164" fontId="0" fillId="3" borderId="0" xfId="0" applyNumberFormat="1" applyFill="1" applyAlignment="1">
      <alignment vertical="center"/>
    </xf>
    <xf numFmtId="171" fontId="26" fillId="0" borderId="3" xfId="4" applyFont="1" applyBorder="1"/>
    <xf numFmtId="4" fontId="26" fillId="0" borderId="3" xfId="4" applyNumberFormat="1" applyFont="1" applyFill="1" applyBorder="1" applyAlignment="1" applyProtection="1"/>
    <xf numFmtId="39" fontId="0" fillId="0" borderId="0" xfId="0" applyNumberFormat="1"/>
    <xf numFmtId="39" fontId="0" fillId="0" borderId="0" xfId="0" applyNumberFormat="1" applyBorder="1"/>
    <xf numFmtId="0" fontId="29" fillId="0" borderId="0" xfId="3" applyFont="1"/>
    <xf numFmtId="165" fontId="12" fillId="0" borderId="0" xfId="1" applyFont="1"/>
    <xf numFmtId="0" fontId="30" fillId="0" borderId="0" xfId="3" applyFont="1"/>
    <xf numFmtId="0" fontId="4" fillId="0" borderId="0" xfId="0" applyFont="1" applyAlignment="1">
      <alignment horizontal="left" indent="2"/>
    </xf>
    <xf numFmtId="0" fontId="6" fillId="0" borderId="1" xfId="0" applyFont="1" applyBorder="1" applyAlignment="1">
      <alignment horizontal="left" indent="2"/>
    </xf>
    <xf numFmtId="0" fontId="9" fillId="0" borderId="0" xfId="0" applyFont="1" applyAlignment="1">
      <alignment horizontal="left" indent="1"/>
    </xf>
    <xf numFmtId="164" fontId="0" fillId="0" borderId="0" xfId="0" applyNumberFormat="1" applyAlignment="1">
      <alignment horizontal="left" indent="1"/>
    </xf>
    <xf numFmtId="0" fontId="11" fillId="0" borderId="0" xfId="0" applyFont="1" applyAlignment="1">
      <alignment horizontal="left" indent="1"/>
    </xf>
    <xf numFmtId="0" fontId="10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12" fillId="0" borderId="0" xfId="0" applyFont="1" applyAlignment="1">
      <alignment horizontal="left" indent="1"/>
    </xf>
    <xf numFmtId="165" fontId="11" fillId="0" borderId="0" xfId="1" applyFont="1" applyAlignment="1">
      <alignment horizontal="left" indent="1"/>
    </xf>
    <xf numFmtId="164" fontId="2" fillId="0" borderId="1" xfId="0" applyNumberFormat="1" applyFont="1" applyBorder="1" applyAlignment="1">
      <alignment horizontal="left" indent="2"/>
    </xf>
    <xf numFmtId="2" fontId="3" fillId="0" borderId="0" xfId="0" applyNumberFormat="1" applyFont="1" applyAlignment="1">
      <alignment horizontal="left" indent="2"/>
    </xf>
    <xf numFmtId="10" fontId="0" fillId="0" borderId="0" xfId="0" applyNumberFormat="1" applyAlignment="1">
      <alignment horizontal="left" indent="2"/>
    </xf>
    <xf numFmtId="166" fontId="3" fillId="0" borderId="0" xfId="2" applyNumberFormat="1" applyFont="1" applyAlignment="1">
      <alignment horizontal="left" indent="2"/>
    </xf>
    <xf numFmtId="2" fontId="0" fillId="0" borderId="0" xfId="0" applyNumberFormat="1" applyAlignment="1">
      <alignment horizontal="left" indent="2"/>
    </xf>
    <xf numFmtId="0" fontId="0" fillId="0" borderId="0" xfId="0" applyAlignment="1">
      <alignment horizontal="left" indent="2"/>
    </xf>
    <xf numFmtId="0" fontId="4" fillId="0" borderId="1" xfId="0" applyFont="1" applyBorder="1" applyAlignment="1">
      <alignment horizontal="right"/>
    </xf>
    <xf numFmtId="164" fontId="0" fillId="3" borderId="0" xfId="0" applyNumberFormat="1" applyFill="1" applyAlignment="1">
      <alignment vertical="center"/>
    </xf>
    <xf numFmtId="164" fontId="0" fillId="0" borderId="0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64" fontId="0" fillId="2" borderId="0" xfId="0" applyNumberFormat="1" applyFill="1" applyAlignment="1">
      <alignment vertical="center"/>
    </xf>
  </cellXfs>
  <cellStyles count="24">
    <cellStyle name="Comma" xfId="1" builtinId="3"/>
    <cellStyle name="Comma 2" xfId="4"/>
    <cellStyle name="Comma 2 2" xfId="6"/>
    <cellStyle name="Comma 3" xfId="7"/>
    <cellStyle name="Comma 3 2" xfId="8"/>
    <cellStyle name="Currency 2" xfId="9"/>
    <cellStyle name="Currency 2 2" xfId="10"/>
    <cellStyle name="Currency 3" xfId="11"/>
    <cellStyle name="Currency 4" xfId="12"/>
    <cellStyle name="Excel Built-in Normal 1" xfId="3"/>
    <cellStyle name="Normal" xfId="0" builtinId="0"/>
    <cellStyle name="Normal 10" xfId="5"/>
    <cellStyle name="Normal 2" xfId="13"/>
    <cellStyle name="Normal 2 2" xfId="14"/>
    <cellStyle name="Normal 3" xfId="15"/>
    <cellStyle name="Normal 4" xfId="16"/>
    <cellStyle name="Normal 5" xfId="17"/>
    <cellStyle name="Normal 6" xfId="18"/>
    <cellStyle name="Normal 7" xfId="19"/>
    <cellStyle name="Normal 8" xfId="20"/>
    <cellStyle name="Normal 9" xfId="21"/>
    <cellStyle name="Percent" xfId="2" builtinId="5"/>
    <cellStyle name="Percent 2" xfId="22"/>
    <cellStyle name="Percent 3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Land%20Management%202017-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M 2017-18"/>
      <sheetName val="LM 2018-19"/>
      <sheetName val="LM 2019-20"/>
      <sheetName val="Cremer's 2017-18"/>
      <sheetName val="Cremer's 2018-9"/>
      <sheetName val="Cremer's 2019-20"/>
      <sheetName val="LM Budget 2020-21"/>
      <sheetName val="Sheet6"/>
    </sheetNames>
    <sheetDataSet>
      <sheetData sheetId="0"/>
      <sheetData sheetId="1"/>
      <sheetData sheetId="2">
        <row r="9">
          <cell r="K9">
            <v>90</v>
          </cell>
        </row>
      </sheetData>
      <sheetData sheetId="3">
        <row r="27">
          <cell r="I27">
            <v>1474.5700000000002</v>
          </cell>
        </row>
      </sheetData>
      <sheetData sheetId="4">
        <row r="34">
          <cell r="H34">
            <v>2450.02</v>
          </cell>
        </row>
      </sheetData>
      <sheetData sheetId="5">
        <row r="34">
          <cell r="H34">
            <v>1171.55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00"/>
  <sheetViews>
    <sheetView tabSelected="1" view="pageBreakPreview" zoomScale="90" zoomScaleNormal="80" zoomScaleSheetLayoutView="90" workbookViewId="0">
      <pane xSplit="1" ySplit="3" topLeftCell="B4" activePane="bottomRight" state="frozen"/>
      <selection activeCell="P81" sqref="P81"/>
      <selection pane="topRight" activeCell="P81" sqref="P81"/>
      <selection pane="bottomLeft" activeCell="P81" sqref="P81"/>
      <selection pane="bottomRight" activeCell="R100" sqref="R100"/>
    </sheetView>
  </sheetViews>
  <sheetFormatPr defaultColWidth="9.140625" defaultRowHeight="15"/>
  <cols>
    <col min="1" max="1" width="38.42578125" customWidth="1"/>
    <col min="2" max="2" width="16.28515625" style="137" bestFit="1" customWidth="1"/>
    <col min="3" max="3" width="15.7109375" customWidth="1"/>
    <col min="4" max="4" width="15.7109375" style="27" hidden="1" customWidth="1"/>
    <col min="5" max="5" width="15.7109375" hidden="1" customWidth="1"/>
    <col min="6" max="6" width="15.7109375" customWidth="1"/>
    <col min="7" max="7" width="15.7109375" hidden="1" customWidth="1"/>
    <col min="8" max="8" width="8.42578125" hidden="1" customWidth="1"/>
    <col min="9" max="9" width="16.28515625" style="160" hidden="1" customWidth="1"/>
    <col min="10" max="10" width="16.28515625" style="160" bestFit="1" customWidth="1"/>
    <col min="11" max="11" width="19.7109375" style="200" bestFit="1" customWidth="1"/>
    <col min="12" max="12" width="2.7109375" customWidth="1"/>
    <col min="13" max="13" width="20" customWidth="1"/>
    <col min="14" max="14" width="17.140625" bestFit="1" customWidth="1"/>
    <col min="15" max="15" width="38.5703125" style="62" bestFit="1" customWidth="1"/>
    <col min="16" max="16" width="17.140625" bestFit="1" customWidth="1"/>
    <col min="17" max="17" width="5.7109375" style="137" customWidth="1"/>
    <col min="18" max="18" width="17.140625" bestFit="1" customWidth="1"/>
    <col min="19" max="19" width="2.7109375" customWidth="1"/>
  </cols>
  <sheetData>
    <row r="1" spans="1:18" s="1" customFormat="1" ht="21" customHeight="1">
      <c r="B1" s="2"/>
      <c r="C1" s="3" t="s">
        <v>0</v>
      </c>
      <c r="D1" s="4" t="s">
        <v>1</v>
      </c>
      <c r="E1" s="5"/>
      <c r="F1" s="5" t="s">
        <v>2</v>
      </c>
      <c r="G1" s="5" t="s">
        <v>3</v>
      </c>
      <c r="H1" s="205" t="s">
        <v>4</v>
      </c>
      <c r="I1" s="6" t="s">
        <v>5</v>
      </c>
      <c r="J1" s="6" t="s">
        <v>5</v>
      </c>
      <c r="K1" s="186"/>
      <c r="M1" s="3" t="s">
        <v>0</v>
      </c>
      <c r="N1" s="8" t="s">
        <v>5</v>
      </c>
      <c r="O1" s="7"/>
      <c r="P1" s="8" t="s">
        <v>5</v>
      </c>
      <c r="Q1" s="9"/>
      <c r="R1" s="8" t="s">
        <v>5</v>
      </c>
    </row>
    <row r="2" spans="1:18" ht="21">
      <c r="A2" s="10" t="s">
        <v>6</v>
      </c>
      <c r="B2" s="2" t="s">
        <v>7</v>
      </c>
      <c r="C2" s="3" t="s">
        <v>8</v>
      </c>
      <c r="D2" s="11" t="s">
        <v>9</v>
      </c>
      <c r="E2" s="12" t="s">
        <v>2</v>
      </c>
      <c r="F2" s="5" t="s">
        <v>10</v>
      </c>
      <c r="G2" s="12" t="s">
        <v>11</v>
      </c>
      <c r="H2" s="205"/>
      <c r="I2" s="6" t="s">
        <v>12</v>
      </c>
      <c r="J2" s="6" t="s">
        <v>12</v>
      </c>
      <c r="K2" s="13" t="s">
        <v>13</v>
      </c>
      <c r="L2" s="14"/>
      <c r="M2" s="3" t="s">
        <v>14</v>
      </c>
      <c r="N2" s="8" t="s">
        <v>15</v>
      </c>
      <c r="O2" s="13" t="s">
        <v>13</v>
      </c>
      <c r="P2" s="8" t="s">
        <v>16</v>
      </c>
      <c r="Q2" s="9"/>
      <c r="R2" s="8" t="s">
        <v>17</v>
      </c>
    </row>
    <row r="3" spans="1:18" ht="21">
      <c r="A3" s="15" t="s">
        <v>18</v>
      </c>
      <c r="B3" s="16" t="s">
        <v>19</v>
      </c>
      <c r="C3" s="16">
        <v>43891</v>
      </c>
      <c r="D3" s="17" t="s">
        <v>20</v>
      </c>
      <c r="E3" s="18" t="s">
        <v>21</v>
      </c>
      <c r="F3" s="201" t="s">
        <v>12</v>
      </c>
      <c r="G3" s="19"/>
      <c r="H3" s="206"/>
      <c r="I3" s="20"/>
      <c r="J3" s="21" t="s">
        <v>22</v>
      </c>
      <c r="K3" s="187"/>
      <c r="L3" s="14"/>
      <c r="M3" s="22">
        <v>44256</v>
      </c>
      <c r="N3" s="23"/>
      <c r="O3" s="24"/>
      <c r="P3" s="23"/>
      <c r="Q3" s="25"/>
      <c r="R3" s="23"/>
    </row>
    <row r="4" spans="1:18">
      <c r="A4" t="s">
        <v>23</v>
      </c>
      <c r="B4" s="26">
        <v>25</v>
      </c>
      <c r="C4" s="27"/>
      <c r="D4" s="26"/>
      <c r="E4" s="26">
        <v>30</v>
      </c>
      <c r="F4" s="27">
        <f t="shared" ref="F4:F9" si="0">E4+D4</f>
        <v>30</v>
      </c>
      <c r="G4" s="27">
        <f t="shared" ref="G4:G9" si="1">J4-F4</f>
        <v>20</v>
      </c>
      <c r="H4" s="28">
        <f t="shared" ref="H4:H9" si="2">F4/J4</f>
        <v>0.6</v>
      </c>
      <c r="I4" s="29">
        <v>50</v>
      </c>
      <c r="J4" s="30">
        <v>50</v>
      </c>
      <c r="K4" s="188"/>
      <c r="M4" s="27"/>
      <c r="N4" s="31">
        <v>50</v>
      </c>
      <c r="O4" s="32"/>
      <c r="P4" s="31">
        <v>50</v>
      </c>
      <c r="Q4" s="26"/>
      <c r="R4" s="31">
        <v>50</v>
      </c>
    </row>
    <row r="5" spans="1:18">
      <c r="A5" t="s">
        <v>24</v>
      </c>
      <c r="B5" s="26">
        <v>13.95</v>
      </c>
      <c r="C5" s="27"/>
      <c r="D5" s="26">
        <v>6.28</v>
      </c>
      <c r="E5" s="26">
        <v>20</v>
      </c>
      <c r="F5" s="27">
        <f t="shared" si="0"/>
        <v>26.28</v>
      </c>
      <c r="G5" s="27">
        <f t="shared" si="1"/>
        <v>73.72</v>
      </c>
      <c r="H5" s="28">
        <f t="shared" si="2"/>
        <v>0.26280000000000003</v>
      </c>
      <c r="I5" s="29">
        <v>100</v>
      </c>
      <c r="J5" s="30">
        <v>100</v>
      </c>
      <c r="K5" s="62"/>
      <c r="M5" s="27"/>
      <c r="N5" s="31">
        <v>50</v>
      </c>
      <c r="O5" s="32"/>
      <c r="P5" s="31">
        <v>50</v>
      </c>
      <c r="Q5" s="26"/>
      <c r="R5" s="31">
        <v>50</v>
      </c>
    </row>
    <row r="6" spans="1:18">
      <c r="A6" t="s">
        <v>25</v>
      </c>
      <c r="B6" s="26">
        <v>5309</v>
      </c>
      <c r="C6" s="27"/>
      <c r="D6" s="26">
        <v>3150.04</v>
      </c>
      <c r="E6" s="26">
        <f>450*5</f>
        <v>2250</v>
      </c>
      <c r="F6" s="27">
        <f t="shared" si="0"/>
        <v>5400.04</v>
      </c>
      <c r="G6" s="27">
        <f t="shared" si="1"/>
        <v>-3.999999999996362E-2</v>
      </c>
      <c r="H6" s="28">
        <f t="shared" si="2"/>
        <v>1.0000074074074075</v>
      </c>
      <c r="I6" s="29">
        <v>5400</v>
      </c>
      <c r="J6" s="30">
        <v>5400</v>
      </c>
      <c r="K6" s="62"/>
      <c r="M6" s="27"/>
      <c r="N6" s="31">
        <v>5500</v>
      </c>
      <c r="O6" s="32"/>
      <c r="P6" s="31">
        <v>5600</v>
      </c>
      <c r="Q6" s="26"/>
      <c r="R6" s="31">
        <v>5700</v>
      </c>
    </row>
    <row r="7" spans="1:18">
      <c r="A7" t="s">
        <v>26</v>
      </c>
      <c r="B7" s="26">
        <v>1358.06</v>
      </c>
      <c r="C7" s="27"/>
      <c r="D7" s="26">
        <v>230</v>
      </c>
      <c r="E7" s="26">
        <v>500</v>
      </c>
      <c r="F7" s="27">
        <f t="shared" si="0"/>
        <v>730</v>
      </c>
      <c r="G7" s="27">
        <f t="shared" si="1"/>
        <v>770</v>
      </c>
      <c r="H7" s="28">
        <f t="shared" si="2"/>
        <v>0.48666666666666669</v>
      </c>
      <c r="I7" s="33">
        <v>1500</v>
      </c>
      <c r="J7" s="34">
        <v>1500</v>
      </c>
      <c r="K7" s="62"/>
      <c r="M7" s="27"/>
      <c r="N7" s="31"/>
      <c r="O7" s="32" t="s">
        <v>127</v>
      </c>
      <c r="P7" s="31"/>
      <c r="Q7" s="26"/>
      <c r="R7" s="31"/>
    </row>
    <row r="8" spans="1:18">
      <c r="A8" t="s">
        <v>27</v>
      </c>
      <c r="B8" s="26">
        <v>1128.4000000000001</v>
      </c>
      <c r="C8" s="27"/>
      <c r="D8" s="26"/>
      <c r="E8" s="26">
        <v>1200</v>
      </c>
      <c r="F8" s="27">
        <f t="shared" si="0"/>
        <v>1200</v>
      </c>
      <c r="G8" s="27">
        <f t="shared" si="1"/>
        <v>0</v>
      </c>
      <c r="H8" s="28">
        <f t="shared" si="2"/>
        <v>1</v>
      </c>
      <c r="I8" s="33">
        <v>1200</v>
      </c>
      <c r="J8" s="34">
        <v>1200</v>
      </c>
      <c r="K8" s="62"/>
      <c r="M8" s="27"/>
      <c r="N8" s="31">
        <v>1500</v>
      </c>
      <c r="O8" s="32"/>
      <c r="P8" s="31">
        <v>1550</v>
      </c>
      <c r="Q8" s="26"/>
      <c r="R8" s="31">
        <v>1600</v>
      </c>
    </row>
    <row r="9" spans="1:18">
      <c r="A9" t="s">
        <v>28</v>
      </c>
      <c r="B9" s="26">
        <v>119.99</v>
      </c>
      <c r="C9" s="26"/>
      <c r="D9" s="26"/>
      <c r="E9" s="26"/>
      <c r="F9" s="27">
        <f t="shared" si="0"/>
        <v>0</v>
      </c>
      <c r="G9" s="27">
        <f t="shared" si="1"/>
        <v>300</v>
      </c>
      <c r="H9" s="28">
        <f t="shared" si="2"/>
        <v>0</v>
      </c>
      <c r="I9" s="29">
        <v>300</v>
      </c>
      <c r="J9" s="30">
        <v>300</v>
      </c>
      <c r="K9" s="188"/>
      <c r="M9" s="26"/>
      <c r="N9" s="31"/>
      <c r="O9" s="32"/>
      <c r="P9" s="31"/>
      <c r="Q9" s="26"/>
      <c r="R9" s="31"/>
    </row>
    <row r="10" spans="1:18">
      <c r="A10" s="35" t="s">
        <v>29</v>
      </c>
      <c r="B10" s="36"/>
      <c r="C10" s="37"/>
      <c r="D10" s="36"/>
      <c r="E10" s="36"/>
      <c r="F10" s="37"/>
      <c r="G10" s="37"/>
      <c r="H10" s="38"/>
      <c r="I10" s="39">
        <v>3600</v>
      </c>
      <c r="J10" s="40"/>
      <c r="K10" s="62"/>
      <c r="M10" s="27"/>
      <c r="N10" s="41"/>
      <c r="O10" s="32"/>
      <c r="P10" s="41"/>
      <c r="Q10" s="26"/>
      <c r="R10" s="41"/>
    </row>
    <row r="11" spans="1:18">
      <c r="A11" s="42" t="s">
        <v>30</v>
      </c>
      <c r="B11" s="43">
        <v>1583.2</v>
      </c>
      <c r="C11" s="44"/>
      <c r="D11" s="43"/>
      <c r="E11" s="43">
        <v>1800</v>
      </c>
      <c r="F11" s="44">
        <f t="shared" ref="F11:F15" si="3">E11+D11</f>
        <v>1800</v>
      </c>
      <c r="G11" s="44">
        <f t="shared" ref="G11:G15" si="4">J11-F11</f>
        <v>-217</v>
      </c>
      <c r="H11" s="45">
        <f t="shared" ref="H11:H15" si="5">F11/J11</f>
        <v>1.137081490840177</v>
      </c>
      <c r="I11" s="46"/>
      <c r="J11" s="47">
        <v>1583</v>
      </c>
      <c r="K11" s="189"/>
      <c r="M11" s="27"/>
      <c r="N11" s="48">
        <v>2000</v>
      </c>
      <c r="O11" s="32"/>
      <c r="P11" s="48">
        <v>2200</v>
      </c>
      <c r="Q11" s="26"/>
      <c r="R11" s="48">
        <v>2200</v>
      </c>
    </row>
    <row r="12" spans="1:18">
      <c r="A12" s="42" t="s">
        <v>31</v>
      </c>
      <c r="B12" s="43"/>
      <c r="C12" s="44"/>
      <c r="D12" s="43"/>
      <c r="E12" s="43"/>
      <c r="F12" s="44">
        <f t="shared" si="3"/>
        <v>0</v>
      </c>
      <c r="G12" s="44">
        <f t="shared" si="4"/>
        <v>310</v>
      </c>
      <c r="H12" s="45">
        <f t="shared" si="5"/>
        <v>0</v>
      </c>
      <c r="I12" s="46"/>
      <c r="J12" s="47">
        <v>310</v>
      </c>
      <c r="K12" s="62"/>
      <c r="M12" s="27"/>
      <c r="N12" s="48"/>
      <c r="O12" s="32"/>
      <c r="P12" s="48"/>
      <c r="Q12" s="26"/>
      <c r="R12" s="48"/>
    </row>
    <row r="13" spans="1:18">
      <c r="A13" s="42" t="s">
        <v>32</v>
      </c>
      <c r="B13" s="43">
        <f>2123.47+1-440</f>
        <v>1684.4699999999998</v>
      </c>
      <c r="C13" s="44"/>
      <c r="D13" s="43">
        <v>12</v>
      </c>
      <c r="E13" s="43">
        <v>686</v>
      </c>
      <c r="F13" s="44">
        <f t="shared" si="3"/>
        <v>698</v>
      </c>
      <c r="G13" s="44">
        <f t="shared" si="4"/>
        <v>-116</v>
      </c>
      <c r="H13" s="45">
        <f t="shared" si="5"/>
        <v>1.1993127147766323</v>
      </c>
      <c r="I13" s="46"/>
      <c r="J13" s="47">
        <v>582</v>
      </c>
      <c r="K13" s="62"/>
      <c r="M13" s="27"/>
      <c r="N13" s="48">
        <v>800</v>
      </c>
      <c r="O13" s="32"/>
      <c r="P13" s="48">
        <v>800</v>
      </c>
      <c r="Q13" s="26"/>
      <c r="R13" s="48">
        <v>800</v>
      </c>
    </row>
    <row r="14" spans="1:18">
      <c r="A14" s="42" t="s">
        <v>33</v>
      </c>
      <c r="B14" s="43"/>
      <c r="C14" s="44"/>
      <c r="D14" s="43">
        <v>12</v>
      </c>
      <c r="E14" s="43">
        <v>12</v>
      </c>
      <c r="F14" s="44">
        <f t="shared" si="3"/>
        <v>24</v>
      </c>
      <c r="G14" s="44">
        <f t="shared" si="4"/>
        <v>-24</v>
      </c>
      <c r="H14" s="45" t="e">
        <f t="shared" si="5"/>
        <v>#DIV/0!</v>
      </c>
      <c r="I14" s="46"/>
      <c r="J14" s="47">
        <v>0</v>
      </c>
      <c r="K14" s="62"/>
      <c r="M14" s="27"/>
      <c r="N14" s="48">
        <v>50</v>
      </c>
      <c r="O14" s="32"/>
      <c r="P14" s="48">
        <v>50</v>
      </c>
      <c r="Q14" s="26"/>
      <c r="R14" s="48">
        <v>50</v>
      </c>
    </row>
    <row r="15" spans="1:18">
      <c r="A15" s="49" t="s">
        <v>34</v>
      </c>
      <c r="B15" s="50">
        <f>108.5+192+400</f>
        <v>700.5</v>
      </c>
      <c r="C15" s="51"/>
      <c r="D15" s="50">
        <v>576</v>
      </c>
      <c r="E15" s="50">
        <v>180</v>
      </c>
      <c r="F15" s="51">
        <f t="shared" si="3"/>
        <v>756</v>
      </c>
      <c r="G15" s="51">
        <f t="shared" si="4"/>
        <v>-56</v>
      </c>
      <c r="H15" s="52">
        <f t="shared" si="5"/>
        <v>1.08</v>
      </c>
      <c r="I15" s="53"/>
      <c r="J15" s="54">
        <v>700</v>
      </c>
      <c r="K15" s="62"/>
      <c r="M15" s="27"/>
      <c r="N15" s="55">
        <v>750</v>
      </c>
      <c r="O15" s="32"/>
      <c r="P15" s="55">
        <v>800</v>
      </c>
      <c r="Q15" s="26"/>
      <c r="R15" s="55">
        <v>850</v>
      </c>
    </row>
    <row r="16" spans="1:18">
      <c r="A16" s="35" t="s">
        <v>35</v>
      </c>
      <c r="B16" s="36"/>
      <c r="C16" s="37"/>
      <c r="D16" s="36"/>
      <c r="E16" s="36"/>
      <c r="F16" s="56"/>
      <c r="G16" s="56"/>
      <c r="H16" s="57"/>
      <c r="I16" s="58">
        <v>4000</v>
      </c>
      <c r="J16" s="59"/>
      <c r="K16" s="62"/>
      <c r="M16" s="27"/>
      <c r="N16" s="41"/>
      <c r="O16" s="32"/>
      <c r="P16" s="41"/>
      <c r="Q16" s="26"/>
      <c r="R16" s="41"/>
    </row>
    <row r="17" spans="1:18">
      <c r="A17" s="42" t="s">
        <v>36</v>
      </c>
      <c r="B17" s="43">
        <v>469.26</v>
      </c>
      <c r="C17" s="44"/>
      <c r="D17" s="43">
        <v>112.5</v>
      </c>
      <c r="E17" s="43">
        <v>100</v>
      </c>
      <c r="F17" s="44">
        <f t="shared" ref="F17:F27" si="6">E17+D17</f>
        <v>212.5</v>
      </c>
      <c r="G17" s="44">
        <f t="shared" ref="G17:G27" si="7">J17-F17</f>
        <v>187.5</v>
      </c>
      <c r="H17" s="45">
        <f t="shared" ref="H17:H27" si="8">F17/J17</f>
        <v>0.53125</v>
      </c>
      <c r="I17" s="60"/>
      <c r="J17" s="61">
        <v>400</v>
      </c>
      <c r="K17" s="189"/>
      <c r="M17" s="27"/>
      <c r="N17" s="48">
        <v>400</v>
      </c>
      <c r="O17" s="32"/>
      <c r="P17" s="48">
        <v>450</v>
      </c>
      <c r="Q17" s="26"/>
      <c r="R17" s="48">
        <v>500</v>
      </c>
    </row>
    <row r="18" spans="1:18">
      <c r="A18" s="42" t="s">
        <v>37</v>
      </c>
      <c r="B18" s="43">
        <v>602.41999999999996</v>
      </c>
      <c r="C18" s="44"/>
      <c r="D18" s="43">
        <v>76.81</v>
      </c>
      <c r="E18" s="43">
        <v>200</v>
      </c>
      <c r="F18" s="44">
        <f t="shared" si="6"/>
        <v>276.81</v>
      </c>
      <c r="G18" s="44">
        <f t="shared" si="7"/>
        <v>323.19</v>
      </c>
      <c r="H18" s="45">
        <f t="shared" si="8"/>
        <v>0.46134999999999998</v>
      </c>
      <c r="I18" s="60"/>
      <c r="J18" s="61">
        <v>600</v>
      </c>
      <c r="K18" s="62"/>
      <c r="M18" s="27"/>
      <c r="N18" s="48">
        <v>600</v>
      </c>
      <c r="O18" s="32"/>
      <c r="P18" s="48">
        <v>600</v>
      </c>
      <c r="Q18" s="26"/>
      <c r="R18" s="48">
        <v>600</v>
      </c>
    </row>
    <row r="19" spans="1:18">
      <c r="A19" s="42" t="s">
        <v>38</v>
      </c>
      <c r="B19" s="43">
        <v>56</v>
      </c>
      <c r="C19" s="44"/>
      <c r="D19" s="43">
        <v>49</v>
      </c>
      <c r="E19" s="43">
        <v>50</v>
      </c>
      <c r="F19" s="44">
        <f t="shared" si="6"/>
        <v>99</v>
      </c>
      <c r="G19" s="44">
        <f t="shared" si="7"/>
        <v>1</v>
      </c>
      <c r="H19" s="45">
        <f t="shared" si="8"/>
        <v>0.99</v>
      </c>
      <c r="I19" s="60"/>
      <c r="J19" s="61">
        <v>100</v>
      </c>
      <c r="K19" s="62"/>
      <c r="M19" s="27"/>
      <c r="N19" s="48">
        <v>100</v>
      </c>
      <c r="O19" s="32"/>
      <c r="P19" s="48">
        <v>100</v>
      </c>
      <c r="Q19" s="26"/>
      <c r="R19" s="48">
        <v>100</v>
      </c>
    </row>
    <row r="20" spans="1:18">
      <c r="A20" s="42" t="s">
        <v>39</v>
      </c>
      <c r="B20" s="203">
        <f>2015.72-(41.67*10)</f>
        <v>1599.02</v>
      </c>
      <c r="C20" s="44"/>
      <c r="D20" s="43">
        <f>121.24-40</f>
        <v>81.239999999999995</v>
      </c>
      <c r="E20" s="43">
        <v>100</v>
      </c>
      <c r="F20" s="44">
        <f t="shared" si="6"/>
        <v>181.24</v>
      </c>
      <c r="G20" s="44">
        <f t="shared" si="7"/>
        <v>318.76</v>
      </c>
      <c r="H20" s="45">
        <f t="shared" si="8"/>
        <v>0.36248000000000002</v>
      </c>
      <c r="I20" s="60"/>
      <c r="J20" s="61">
        <v>500</v>
      </c>
      <c r="K20" s="62"/>
      <c r="M20" s="27"/>
      <c r="N20" s="48">
        <v>400</v>
      </c>
      <c r="O20" s="32"/>
      <c r="P20" s="48">
        <v>450</v>
      </c>
      <c r="Q20" s="26"/>
      <c r="R20" s="48">
        <v>500</v>
      </c>
    </row>
    <row r="21" spans="1:18">
      <c r="A21" s="42" t="s">
        <v>40</v>
      </c>
      <c r="B21" s="203"/>
      <c r="C21" s="44"/>
      <c r="D21" s="43">
        <v>67.78</v>
      </c>
      <c r="E21" s="43">
        <v>20</v>
      </c>
      <c r="F21" s="44">
        <f t="shared" si="6"/>
        <v>87.78</v>
      </c>
      <c r="G21" s="44">
        <f t="shared" si="7"/>
        <v>112.22</v>
      </c>
      <c r="H21" s="45">
        <f t="shared" si="8"/>
        <v>0.43890000000000001</v>
      </c>
      <c r="I21" s="60"/>
      <c r="J21" s="61">
        <v>200</v>
      </c>
      <c r="K21" s="62"/>
      <c r="M21" s="27"/>
      <c r="N21" s="48">
        <v>100</v>
      </c>
      <c r="O21" s="32"/>
      <c r="P21" s="48">
        <v>150</v>
      </c>
      <c r="Q21" s="26"/>
      <c r="R21" s="48">
        <v>150</v>
      </c>
    </row>
    <row r="22" spans="1:18">
      <c r="A22" s="42" t="s">
        <v>41</v>
      </c>
      <c r="B22" s="203"/>
      <c r="C22" s="44"/>
      <c r="D22" s="43">
        <v>185.16</v>
      </c>
      <c r="E22" s="43">
        <f>D22/7*5</f>
        <v>132.25714285714287</v>
      </c>
      <c r="F22" s="44">
        <f t="shared" si="6"/>
        <v>317.41714285714284</v>
      </c>
      <c r="G22" s="44">
        <f t="shared" si="7"/>
        <v>-117.41714285714284</v>
      </c>
      <c r="H22" s="45">
        <f t="shared" si="8"/>
        <v>1.5870857142857142</v>
      </c>
      <c r="I22" s="60"/>
      <c r="J22" s="61">
        <v>200</v>
      </c>
      <c r="K22" s="189"/>
      <c r="M22" s="27"/>
      <c r="N22" s="48">
        <v>400</v>
      </c>
      <c r="O22" s="32"/>
      <c r="P22" s="48">
        <v>450</v>
      </c>
      <c r="Q22" s="26"/>
      <c r="R22" s="48">
        <v>500</v>
      </c>
    </row>
    <row r="23" spans="1:18">
      <c r="A23" s="42" t="s">
        <v>42</v>
      </c>
      <c r="B23" s="43">
        <v>718.55</v>
      </c>
      <c r="C23" s="44"/>
      <c r="D23" s="43">
        <v>256.04000000000002</v>
      </c>
      <c r="E23" s="43">
        <f>D23/7*5</f>
        <v>182.8857142857143</v>
      </c>
      <c r="F23" s="44">
        <f t="shared" si="6"/>
        <v>438.92571428571432</v>
      </c>
      <c r="G23" s="44">
        <f t="shared" si="7"/>
        <v>281.07428571428568</v>
      </c>
      <c r="H23" s="45">
        <f t="shared" si="8"/>
        <v>0.60961904761904762</v>
      </c>
      <c r="I23" s="60"/>
      <c r="J23" s="61">
        <v>720</v>
      </c>
      <c r="K23" s="62"/>
      <c r="M23" s="27"/>
      <c r="N23" s="48">
        <v>450</v>
      </c>
      <c r="O23" s="32"/>
      <c r="P23" s="48">
        <v>460</v>
      </c>
      <c r="Q23" s="26"/>
      <c r="R23" s="48">
        <v>470</v>
      </c>
    </row>
    <row r="24" spans="1:18">
      <c r="A24" s="42" t="s">
        <v>43</v>
      </c>
      <c r="B24" s="43">
        <v>366.84</v>
      </c>
      <c r="C24" s="44"/>
      <c r="D24" s="43">
        <v>224.06</v>
      </c>
      <c r="E24" s="43">
        <f>D24/7*5</f>
        <v>160.04285714285714</v>
      </c>
      <c r="F24" s="44">
        <f t="shared" si="6"/>
        <v>384.10285714285715</v>
      </c>
      <c r="G24" s="44">
        <f t="shared" si="7"/>
        <v>-14.102857142857147</v>
      </c>
      <c r="H24" s="45">
        <f t="shared" si="8"/>
        <v>1.0381158301158302</v>
      </c>
      <c r="I24" s="60"/>
      <c r="J24" s="61">
        <v>370</v>
      </c>
      <c r="K24" s="62"/>
      <c r="M24" s="27"/>
      <c r="N24" s="48">
        <v>400</v>
      </c>
      <c r="O24" s="32"/>
      <c r="P24" s="48">
        <v>400</v>
      </c>
      <c r="Q24" s="26"/>
      <c r="R24" s="48">
        <v>400</v>
      </c>
    </row>
    <row r="25" spans="1:18">
      <c r="A25" s="42" t="s">
        <v>44</v>
      </c>
      <c r="B25" s="43">
        <f>735+440</f>
        <v>1175</v>
      </c>
      <c r="C25" s="44"/>
      <c r="D25" s="43">
        <v>700.34</v>
      </c>
      <c r="E25" s="43">
        <v>100</v>
      </c>
      <c r="F25" s="44">
        <f t="shared" si="6"/>
        <v>800.34</v>
      </c>
      <c r="G25" s="44">
        <f t="shared" si="7"/>
        <v>584.66</v>
      </c>
      <c r="H25" s="45">
        <f t="shared" si="8"/>
        <v>0.57786281588447652</v>
      </c>
      <c r="I25" s="60"/>
      <c r="J25" s="61">
        <v>1385</v>
      </c>
      <c r="K25" s="62"/>
      <c r="M25" s="27"/>
      <c r="N25" s="48">
        <v>900</v>
      </c>
      <c r="P25" s="48">
        <v>1400</v>
      </c>
      <c r="Q25" s="32" t="s">
        <v>45</v>
      </c>
      <c r="R25" s="48">
        <v>1450</v>
      </c>
    </row>
    <row r="26" spans="1:18">
      <c r="A26" s="49" t="s">
        <v>46</v>
      </c>
      <c r="B26" s="50">
        <f>41.67*11</f>
        <v>458.37</v>
      </c>
      <c r="C26" s="51"/>
      <c r="D26" s="50">
        <v>291.69</v>
      </c>
      <c r="E26" s="50">
        <f>41.67*5</f>
        <v>208.35000000000002</v>
      </c>
      <c r="F26" s="51">
        <f t="shared" si="6"/>
        <v>500.04</v>
      </c>
      <c r="G26" s="51">
        <f t="shared" si="7"/>
        <v>-4.0000000000020464E-2</v>
      </c>
      <c r="H26" s="52">
        <f t="shared" si="8"/>
        <v>1.0000800000000001</v>
      </c>
      <c r="I26" s="63"/>
      <c r="J26" s="64">
        <v>500</v>
      </c>
      <c r="K26" s="62"/>
      <c r="M26" s="27"/>
      <c r="N26" s="55">
        <v>900</v>
      </c>
      <c r="O26" s="32"/>
      <c r="P26" s="55">
        <v>1200</v>
      </c>
      <c r="Q26" s="26"/>
      <c r="R26" s="55">
        <v>1200</v>
      </c>
    </row>
    <row r="27" spans="1:18">
      <c r="A27" t="s">
        <v>47</v>
      </c>
      <c r="B27" s="26">
        <f>1229.17-41.67</f>
        <v>1187.5</v>
      </c>
      <c r="C27" s="27"/>
      <c r="D27" s="26">
        <v>21</v>
      </c>
      <c r="E27" s="26">
        <v>50</v>
      </c>
      <c r="F27" s="27">
        <f t="shared" si="6"/>
        <v>71</v>
      </c>
      <c r="G27" s="27">
        <f t="shared" si="7"/>
        <v>529</v>
      </c>
      <c r="H27" s="28">
        <f t="shared" si="8"/>
        <v>0.11833333333333333</v>
      </c>
      <c r="I27" s="33">
        <v>1100</v>
      </c>
      <c r="J27" s="34">
        <v>600</v>
      </c>
      <c r="K27" s="190"/>
      <c r="M27" s="27"/>
      <c r="N27" s="31">
        <v>400</v>
      </c>
      <c r="O27" s="32"/>
      <c r="P27" s="31">
        <v>800</v>
      </c>
      <c r="Q27" s="26"/>
      <c r="R27" s="31">
        <v>1000</v>
      </c>
    </row>
    <row r="28" spans="1:18">
      <c r="A28" t="s">
        <v>48</v>
      </c>
      <c r="B28" s="26"/>
      <c r="C28" s="27"/>
      <c r="D28" s="26"/>
      <c r="E28" s="26"/>
      <c r="F28" s="65"/>
      <c r="G28" s="65"/>
      <c r="H28" s="66"/>
      <c r="I28" s="33">
        <v>650</v>
      </c>
      <c r="J28" s="33"/>
      <c r="K28" s="188" t="s">
        <v>49</v>
      </c>
      <c r="M28" s="27"/>
      <c r="N28" s="31"/>
      <c r="O28" s="32"/>
      <c r="P28" s="31"/>
      <c r="Q28" s="26"/>
      <c r="R28" s="31"/>
    </row>
    <row r="29" spans="1:18">
      <c r="A29" t="s">
        <v>50</v>
      </c>
      <c r="B29" s="26">
        <v>53049.97</v>
      </c>
      <c r="C29" s="27"/>
      <c r="D29" s="26">
        <v>34166.1</v>
      </c>
      <c r="E29" s="26">
        <f>(922.06+1094.91+835.76+2022.67)*5-2022.67</f>
        <v>22354.33</v>
      </c>
      <c r="F29" s="27">
        <f t="shared" ref="F29:F33" si="9">E29+D29</f>
        <v>56520.43</v>
      </c>
      <c r="G29" s="27">
        <f t="shared" ref="G29:G33" si="10">J29-F29</f>
        <v>2979.5699999999997</v>
      </c>
      <c r="H29" s="28">
        <f t="shared" ref="H29:H33" si="11">F29/J29</f>
        <v>0.9499231932773109</v>
      </c>
      <c r="I29" s="29">
        <v>59500</v>
      </c>
      <c r="J29" s="30">
        <v>59500</v>
      </c>
      <c r="K29" s="62"/>
      <c r="M29" s="27"/>
      <c r="N29" s="31">
        <v>62500</v>
      </c>
      <c r="O29" s="32"/>
      <c r="P29" s="31">
        <v>63000</v>
      </c>
      <c r="Q29" s="26"/>
      <c r="R29" s="31">
        <v>63500</v>
      </c>
    </row>
    <row r="30" spans="1:18">
      <c r="A30" t="s">
        <v>51</v>
      </c>
      <c r="B30" s="26">
        <v>120</v>
      </c>
      <c r="C30" s="27"/>
      <c r="D30" s="26">
        <v>81.239999999999995</v>
      </c>
      <c r="E30" s="26">
        <v>200</v>
      </c>
      <c r="F30" s="27">
        <f t="shared" si="9"/>
        <v>281.24</v>
      </c>
      <c r="G30" s="27">
        <f t="shared" si="10"/>
        <v>18.759999999999991</v>
      </c>
      <c r="H30" s="28">
        <f t="shared" si="11"/>
        <v>0.93746666666666667</v>
      </c>
      <c r="I30" s="29">
        <v>300</v>
      </c>
      <c r="J30" s="30">
        <v>300</v>
      </c>
      <c r="K30" s="188"/>
      <c r="M30" s="27"/>
      <c r="N30" s="31">
        <v>300</v>
      </c>
      <c r="O30" s="32"/>
      <c r="P30" s="31">
        <v>400</v>
      </c>
      <c r="Q30" s="26"/>
      <c r="R30" s="31">
        <v>400</v>
      </c>
    </row>
    <row r="31" spans="1:18">
      <c r="A31" t="s">
        <v>52</v>
      </c>
      <c r="B31" s="26">
        <v>210</v>
      </c>
      <c r="C31" s="27"/>
      <c r="D31" s="26">
        <v>40</v>
      </c>
      <c r="E31" s="26">
        <v>100</v>
      </c>
      <c r="F31" s="27">
        <f t="shared" si="9"/>
        <v>140</v>
      </c>
      <c r="G31" s="27">
        <f t="shared" si="10"/>
        <v>360</v>
      </c>
      <c r="H31" s="28">
        <f t="shared" si="11"/>
        <v>0.28000000000000003</v>
      </c>
      <c r="I31" s="29">
        <v>500</v>
      </c>
      <c r="J31" s="30">
        <v>500</v>
      </c>
      <c r="K31" s="62"/>
      <c r="M31" s="27"/>
      <c r="N31" s="31">
        <v>500</v>
      </c>
      <c r="O31" s="32"/>
      <c r="P31" s="31">
        <v>500</v>
      </c>
      <c r="Q31" s="26"/>
      <c r="R31" s="31">
        <v>500</v>
      </c>
    </row>
    <row r="32" spans="1:18">
      <c r="A32" t="s">
        <v>53</v>
      </c>
      <c r="B32" s="26">
        <v>1099</v>
      </c>
      <c r="C32" s="27"/>
      <c r="D32" s="26">
        <v>200</v>
      </c>
      <c r="E32" s="26">
        <v>600</v>
      </c>
      <c r="F32" s="27">
        <f t="shared" si="9"/>
        <v>800</v>
      </c>
      <c r="G32" s="27">
        <f t="shared" si="10"/>
        <v>400</v>
      </c>
      <c r="H32" s="28">
        <f t="shared" si="11"/>
        <v>0.66666666666666663</v>
      </c>
      <c r="I32" s="207">
        <v>1200</v>
      </c>
      <c r="J32" s="34">
        <v>1200</v>
      </c>
      <c r="K32" s="62"/>
      <c r="M32" s="27"/>
      <c r="N32" s="202">
        <v>1000</v>
      </c>
      <c r="O32" s="32"/>
      <c r="P32" s="202">
        <v>1300</v>
      </c>
      <c r="Q32" s="26"/>
      <c r="R32" s="202">
        <v>1300</v>
      </c>
    </row>
    <row r="33" spans="1:20">
      <c r="A33" t="s">
        <v>54</v>
      </c>
      <c r="B33" s="26"/>
      <c r="C33" s="27"/>
      <c r="D33" s="26"/>
      <c r="E33" s="26">
        <v>300</v>
      </c>
      <c r="F33" s="27">
        <f t="shared" si="9"/>
        <v>300</v>
      </c>
      <c r="G33" s="27">
        <f t="shared" si="10"/>
        <v>300</v>
      </c>
      <c r="H33" s="28">
        <f t="shared" si="11"/>
        <v>0.5</v>
      </c>
      <c r="I33" s="207"/>
      <c r="J33" s="34">
        <v>600</v>
      </c>
      <c r="K33" s="62"/>
      <c r="M33" s="27"/>
      <c r="N33" s="202"/>
      <c r="O33" s="32"/>
      <c r="P33" s="202"/>
      <c r="Q33" s="26"/>
      <c r="R33" s="202"/>
    </row>
    <row r="34" spans="1:20">
      <c r="A34" s="35" t="s">
        <v>55</v>
      </c>
      <c r="B34" s="36"/>
      <c r="C34" s="36">
        <v>9784.51</v>
      </c>
      <c r="D34" s="36"/>
      <c r="E34" s="36"/>
      <c r="F34" s="37"/>
      <c r="G34" s="37"/>
      <c r="H34" s="38"/>
      <c r="I34" s="39">
        <v>7500</v>
      </c>
      <c r="J34" s="40"/>
      <c r="K34" s="191"/>
      <c r="M34" s="26">
        <f>9784.51+G34</f>
        <v>9784.51</v>
      </c>
      <c r="N34" s="41"/>
      <c r="O34" s="32"/>
      <c r="P34" s="41"/>
      <c r="Q34" s="26"/>
      <c r="R34" s="41"/>
    </row>
    <row r="35" spans="1:20">
      <c r="A35" s="42" t="s">
        <v>56</v>
      </c>
      <c r="B35" s="43">
        <f>7264.23-B36</f>
        <v>6467.23</v>
      </c>
      <c r="C35" s="43"/>
      <c r="D35" s="43">
        <v>3643.57</v>
      </c>
      <c r="E35" s="43">
        <f>(D35/7)*5</f>
        <v>2602.5500000000002</v>
      </c>
      <c r="F35" s="44">
        <f t="shared" ref="F35:F36" si="12">E35+D35</f>
        <v>6246.1200000000008</v>
      </c>
      <c r="G35" s="44">
        <f t="shared" ref="G35:G36" si="13">J35-F35</f>
        <v>153.8799999999992</v>
      </c>
      <c r="H35" s="45">
        <f t="shared" ref="H35:H36" si="14">F35/J35</f>
        <v>0.97595625000000008</v>
      </c>
      <c r="I35" s="46"/>
      <c r="J35" s="47">
        <v>6400</v>
      </c>
      <c r="K35" s="191"/>
      <c r="M35" s="26"/>
      <c r="N35" s="48">
        <v>6400</v>
      </c>
      <c r="O35" s="32"/>
      <c r="P35" s="48">
        <v>6400</v>
      </c>
      <c r="Q35" s="26"/>
      <c r="R35" s="48">
        <v>6400</v>
      </c>
    </row>
    <row r="36" spans="1:20">
      <c r="A36" s="49" t="s">
        <v>26</v>
      </c>
      <c r="B36" s="50">
        <v>797</v>
      </c>
      <c r="C36" s="50"/>
      <c r="D36" s="50">
        <v>350</v>
      </c>
      <c r="E36" s="50">
        <f>50*5</f>
        <v>250</v>
      </c>
      <c r="F36" s="51">
        <f t="shared" si="12"/>
        <v>600</v>
      </c>
      <c r="G36" s="51">
        <f t="shared" si="13"/>
        <v>500</v>
      </c>
      <c r="H36" s="52">
        <f t="shared" si="14"/>
        <v>0.54545454545454541</v>
      </c>
      <c r="I36" s="53"/>
      <c r="J36" s="54">
        <v>1100</v>
      </c>
      <c r="K36" s="191"/>
      <c r="M36" s="26"/>
      <c r="N36" s="55">
        <v>1100</v>
      </c>
      <c r="O36" s="32"/>
      <c r="P36" s="55">
        <v>1100</v>
      </c>
      <c r="Q36" s="26"/>
      <c r="R36" s="55">
        <v>1100</v>
      </c>
    </row>
    <row r="37" spans="1:20" hidden="1">
      <c r="A37" t="s">
        <v>57</v>
      </c>
      <c r="B37" s="26"/>
      <c r="C37" s="26"/>
      <c r="D37" s="26"/>
      <c r="E37" s="27"/>
      <c r="F37" s="65"/>
      <c r="G37" s="65"/>
      <c r="H37" s="66"/>
      <c r="I37" s="33"/>
      <c r="J37" s="33"/>
      <c r="K37" s="62"/>
      <c r="M37" s="26"/>
      <c r="N37" s="31"/>
      <c r="O37" s="32"/>
      <c r="P37" s="31"/>
      <c r="Q37" s="26"/>
      <c r="R37" s="31"/>
    </row>
    <row r="38" spans="1:20">
      <c r="A38" t="s">
        <v>58</v>
      </c>
      <c r="B38" s="26">
        <v>5467.06</v>
      </c>
      <c r="C38" s="26"/>
      <c r="D38" s="26">
        <f>75+989.5+873</f>
        <v>1937.5</v>
      </c>
      <c r="E38" s="27">
        <v>1000</v>
      </c>
      <c r="F38" s="27">
        <f t="shared" ref="F38" si="15">E38+D38</f>
        <v>2937.5</v>
      </c>
      <c r="G38" s="27">
        <f t="shared" ref="G38" si="16">J38-F38</f>
        <v>1262.5</v>
      </c>
      <c r="H38" s="28">
        <f t="shared" ref="H38" si="17">F38/J38</f>
        <v>0.69940476190476186</v>
      </c>
      <c r="I38" s="33">
        <v>4200</v>
      </c>
      <c r="J38" s="34">
        <v>4200</v>
      </c>
      <c r="K38" s="62"/>
      <c r="M38" s="26"/>
      <c r="N38" s="31">
        <v>3000</v>
      </c>
      <c r="O38" s="32"/>
      <c r="P38" s="31">
        <v>4500</v>
      </c>
      <c r="Q38" s="26"/>
      <c r="R38" s="31">
        <v>4500</v>
      </c>
      <c r="T38" t="s">
        <v>59</v>
      </c>
    </row>
    <row r="39" spans="1:20">
      <c r="A39" t="s">
        <v>60</v>
      </c>
      <c r="B39" s="26"/>
      <c r="C39" s="27"/>
      <c r="D39" s="26"/>
      <c r="E39" s="26"/>
      <c r="F39" s="27"/>
      <c r="G39" s="27"/>
      <c r="H39" s="28"/>
      <c r="I39" s="29"/>
      <c r="J39" s="29"/>
      <c r="K39" s="188"/>
      <c r="M39" s="27"/>
      <c r="N39" s="31">
        <v>1500</v>
      </c>
      <c r="O39" s="32"/>
      <c r="P39" s="31">
        <v>1000</v>
      </c>
      <c r="Q39" s="26"/>
      <c r="R39" s="31">
        <v>1000</v>
      </c>
    </row>
    <row r="40" spans="1:20">
      <c r="A40" s="35" t="s">
        <v>61</v>
      </c>
      <c r="B40" s="36">
        <v>50</v>
      </c>
      <c r="C40" s="36">
        <v>5940.94</v>
      </c>
      <c r="D40" s="36">
        <v>176.47</v>
      </c>
      <c r="E40" s="37">
        <v>1000</v>
      </c>
      <c r="F40" s="37">
        <f t="shared" ref="F40:F41" si="18">E40+D40</f>
        <v>1176.47</v>
      </c>
      <c r="G40" s="37">
        <f>J40-F40</f>
        <v>1823.53</v>
      </c>
      <c r="H40" s="38">
        <f t="shared" ref="H40:H41" si="19">F40/J40</f>
        <v>0.39215666666666665</v>
      </c>
      <c r="I40" s="58">
        <v>14000</v>
      </c>
      <c r="J40" s="67">
        <v>3000</v>
      </c>
      <c r="K40" s="189"/>
      <c r="M40" s="26">
        <v>5940.94</v>
      </c>
      <c r="N40" s="68">
        <v>1000</v>
      </c>
      <c r="O40" s="32" t="s">
        <v>62</v>
      </c>
      <c r="P40" s="68">
        <v>1000</v>
      </c>
      <c r="Q40" s="26"/>
      <c r="R40" s="68">
        <v>1000</v>
      </c>
    </row>
    <row r="41" spans="1:20">
      <c r="A41" s="69" t="s">
        <v>63</v>
      </c>
      <c r="B41" s="43">
        <v>709</v>
      </c>
      <c r="C41" s="43"/>
      <c r="D41" s="43"/>
      <c r="E41" s="43">
        <v>4000</v>
      </c>
      <c r="F41" s="44">
        <f t="shared" si="18"/>
        <v>4000</v>
      </c>
      <c r="G41" s="44">
        <f>J41-F41</f>
        <v>-4000</v>
      </c>
      <c r="H41" s="45" t="e">
        <f t="shared" si="19"/>
        <v>#DIV/0!</v>
      </c>
      <c r="I41" s="60"/>
      <c r="J41" s="70"/>
      <c r="K41" s="189"/>
      <c r="M41" s="26"/>
      <c r="N41" s="71"/>
      <c r="O41" s="32" t="s">
        <v>64</v>
      </c>
      <c r="P41" s="71"/>
      <c r="Q41" s="26"/>
      <c r="R41" s="71"/>
    </row>
    <row r="42" spans="1:20">
      <c r="A42" s="69" t="s">
        <v>65</v>
      </c>
      <c r="B42" s="43"/>
      <c r="C42" s="43">
        <v>2886.5</v>
      </c>
      <c r="D42" s="43"/>
      <c r="E42" s="44"/>
      <c r="F42" s="44">
        <f>SUM(D42:E42)</f>
        <v>0</v>
      </c>
      <c r="G42" s="44">
        <f>I42-F42</f>
        <v>0</v>
      </c>
      <c r="H42" s="45"/>
      <c r="I42" s="46"/>
      <c r="J42" s="70"/>
      <c r="K42" s="62"/>
      <c r="M42" s="26">
        <v>2886.5</v>
      </c>
      <c r="N42" s="48"/>
      <c r="O42" s="32"/>
      <c r="P42" s="48"/>
      <c r="Q42" s="26"/>
      <c r="R42" s="48"/>
    </row>
    <row r="43" spans="1:20">
      <c r="A43" s="69" t="s">
        <v>66</v>
      </c>
      <c r="B43" s="43"/>
      <c r="C43" s="43"/>
      <c r="D43" s="43"/>
      <c r="E43" s="44"/>
      <c r="F43" s="72"/>
      <c r="G43" s="72"/>
      <c r="H43" s="73"/>
      <c r="I43" s="60"/>
      <c r="J43" s="74"/>
      <c r="K43" s="62"/>
      <c r="M43" s="26"/>
      <c r="N43" s="71"/>
      <c r="O43" s="32"/>
      <c r="P43" s="71"/>
      <c r="Q43" s="26"/>
      <c r="R43" s="71"/>
    </row>
    <row r="44" spans="1:20">
      <c r="A44" s="42" t="s">
        <v>46</v>
      </c>
      <c r="B44" s="43">
        <f>551.25*2</f>
        <v>1102.5</v>
      </c>
      <c r="C44" s="43"/>
      <c r="D44" s="43">
        <v>1102.5</v>
      </c>
      <c r="E44" s="44">
        <v>0</v>
      </c>
      <c r="F44" s="44">
        <f t="shared" ref="F44:F45" si="20">E44+D44</f>
        <v>1102.5</v>
      </c>
      <c r="G44" s="44">
        <f t="shared" ref="G44:G45" si="21">J44-F44</f>
        <v>0.5</v>
      </c>
      <c r="H44" s="45">
        <f t="shared" ref="H44:H45" si="22">F44/J44</f>
        <v>0.99954669084315506</v>
      </c>
      <c r="I44" s="60"/>
      <c r="J44" s="61">
        <v>1103</v>
      </c>
      <c r="K44" s="62"/>
      <c r="M44" s="26"/>
      <c r="N44" s="71">
        <v>1200</v>
      </c>
      <c r="O44" s="32"/>
      <c r="P44" s="71">
        <v>1200</v>
      </c>
      <c r="Q44" s="26"/>
      <c r="R44" s="71">
        <v>1200</v>
      </c>
    </row>
    <row r="45" spans="1:20">
      <c r="A45" s="42" t="s">
        <v>67</v>
      </c>
      <c r="B45" s="43">
        <f>4618.29-B44</f>
        <v>3515.79</v>
      </c>
      <c r="C45" s="43"/>
      <c r="D45" s="43">
        <v>87.8</v>
      </c>
      <c r="E45" s="44">
        <v>100</v>
      </c>
      <c r="F45" s="44">
        <f t="shared" si="20"/>
        <v>187.8</v>
      </c>
      <c r="G45" s="44">
        <f t="shared" si="21"/>
        <v>210.2</v>
      </c>
      <c r="H45" s="45">
        <f t="shared" si="22"/>
        <v>0.47185929648241209</v>
      </c>
      <c r="I45" s="60"/>
      <c r="J45" s="61">
        <v>398</v>
      </c>
      <c r="K45" s="62"/>
      <c r="M45" s="26"/>
      <c r="N45" s="71"/>
      <c r="O45" s="32"/>
      <c r="P45" s="71">
        <v>450</v>
      </c>
      <c r="Q45" s="26"/>
      <c r="R45" s="71">
        <v>500</v>
      </c>
    </row>
    <row r="46" spans="1:20">
      <c r="A46" s="42" t="s">
        <v>26</v>
      </c>
      <c r="B46" s="43"/>
      <c r="C46" s="43"/>
      <c r="D46" s="43"/>
      <c r="E46" s="44"/>
      <c r="F46" s="44"/>
      <c r="G46" s="44"/>
      <c r="H46" s="45"/>
      <c r="I46" s="60"/>
      <c r="J46" s="61"/>
      <c r="K46" s="62"/>
      <c r="M46" s="26"/>
      <c r="N46" s="71">
        <v>400</v>
      </c>
      <c r="O46" s="32"/>
      <c r="P46" s="71"/>
      <c r="Q46" s="26"/>
      <c r="R46" s="71"/>
    </row>
    <row r="47" spans="1:20">
      <c r="A47" s="69" t="s">
        <v>68</v>
      </c>
      <c r="B47" s="43"/>
      <c r="C47" s="43"/>
      <c r="D47" s="43"/>
      <c r="E47" s="44"/>
      <c r="F47" s="72"/>
      <c r="G47" s="72"/>
      <c r="H47" s="73"/>
      <c r="I47" s="60"/>
      <c r="J47" s="74"/>
      <c r="K47" s="62"/>
      <c r="M47" s="26"/>
      <c r="N47" s="71"/>
      <c r="O47" s="32"/>
      <c r="P47" s="71"/>
      <c r="Q47" s="26"/>
      <c r="R47" s="71"/>
    </row>
    <row r="48" spans="1:20">
      <c r="A48" s="42" t="s">
        <v>26</v>
      </c>
      <c r="B48" s="43">
        <v>706.57</v>
      </c>
      <c r="C48" s="43"/>
      <c r="D48" s="43">
        <v>471</v>
      </c>
      <c r="E48" s="44">
        <v>400</v>
      </c>
      <c r="F48" s="44">
        <f t="shared" ref="F48:F50" si="23">E48+D48</f>
        <v>871</v>
      </c>
      <c r="G48" s="44">
        <f t="shared" ref="G48:G50" si="24">J48-F48</f>
        <v>-171</v>
      </c>
      <c r="H48" s="45">
        <f t="shared" ref="H48:H50" si="25">F48/J48</f>
        <v>1.2442857142857142</v>
      </c>
      <c r="I48" s="60"/>
      <c r="J48" s="61">
        <v>700</v>
      </c>
      <c r="K48" s="62"/>
      <c r="M48" s="26"/>
      <c r="N48" s="71">
        <v>900</v>
      </c>
      <c r="O48" s="32"/>
      <c r="P48" s="71">
        <v>950</v>
      </c>
      <c r="Q48" s="26"/>
      <c r="R48" s="71">
        <v>1000</v>
      </c>
    </row>
    <row r="49" spans="1:18">
      <c r="A49" s="42" t="s">
        <v>69</v>
      </c>
      <c r="B49" s="43">
        <v>52.07</v>
      </c>
      <c r="C49" s="43"/>
      <c r="D49" s="43">
        <v>41.33</v>
      </c>
      <c r="E49" s="44">
        <f>D49/7*5</f>
        <v>29.521428571428569</v>
      </c>
      <c r="F49" s="44">
        <f t="shared" si="23"/>
        <v>70.851428571428571</v>
      </c>
      <c r="G49" s="44">
        <f t="shared" si="24"/>
        <v>-10.851428571428571</v>
      </c>
      <c r="H49" s="45">
        <f t="shared" si="25"/>
        <v>1.1808571428571428</v>
      </c>
      <c r="I49" s="60"/>
      <c r="J49" s="61">
        <v>60</v>
      </c>
      <c r="K49" s="62"/>
      <c r="M49" s="26"/>
      <c r="N49" s="71">
        <v>80</v>
      </c>
      <c r="O49" s="32"/>
      <c r="P49" s="71">
        <v>80</v>
      </c>
      <c r="Q49" s="26"/>
      <c r="R49" s="71">
        <v>85</v>
      </c>
    </row>
    <row r="50" spans="1:18">
      <c r="A50" s="42" t="s">
        <v>70</v>
      </c>
      <c r="B50" s="43"/>
      <c r="C50" s="43"/>
      <c r="D50" s="43">
        <v>710</v>
      </c>
      <c r="E50" s="44"/>
      <c r="F50" s="44">
        <f t="shared" si="23"/>
        <v>710</v>
      </c>
      <c r="G50" s="44">
        <f t="shared" si="24"/>
        <v>-470</v>
      </c>
      <c r="H50" s="45">
        <f t="shared" si="25"/>
        <v>2.9583333333333335</v>
      </c>
      <c r="I50" s="60"/>
      <c r="J50" s="61">
        <v>240</v>
      </c>
      <c r="K50" s="62"/>
      <c r="M50" s="26"/>
      <c r="N50" s="71">
        <v>500</v>
      </c>
      <c r="O50" s="32"/>
      <c r="P50" s="71">
        <v>550</v>
      </c>
      <c r="Q50" s="26"/>
      <c r="R50" s="71">
        <v>560</v>
      </c>
    </row>
    <row r="51" spans="1:18">
      <c r="A51" s="69" t="s">
        <v>71</v>
      </c>
      <c r="B51" s="43"/>
      <c r="C51" s="43"/>
      <c r="D51" s="43"/>
      <c r="E51" s="44"/>
      <c r="F51" s="72"/>
      <c r="G51" s="72"/>
      <c r="H51" s="73"/>
      <c r="I51" s="60"/>
      <c r="J51" s="74"/>
      <c r="K51" s="62"/>
      <c r="M51" s="26"/>
      <c r="N51" s="71"/>
      <c r="O51" s="32"/>
      <c r="P51" s="71"/>
      <c r="Q51" s="26"/>
      <c r="R51" s="71"/>
    </row>
    <row r="52" spans="1:18">
      <c r="A52" s="42" t="s">
        <v>26</v>
      </c>
      <c r="B52" s="43">
        <f>1877.83-397.64</f>
        <v>1480.19</v>
      </c>
      <c r="C52" s="43"/>
      <c r="D52" s="43">
        <v>318.85000000000002</v>
      </c>
      <c r="E52" s="43">
        <v>2500</v>
      </c>
      <c r="F52" s="44">
        <f t="shared" ref="F52" si="26">E52+D52</f>
        <v>2818.85</v>
      </c>
      <c r="G52" s="44">
        <f t="shared" ref="G52" si="27">J52-F52</f>
        <v>2181.15</v>
      </c>
      <c r="H52" s="45">
        <f t="shared" ref="H52" si="28">F52/J52</f>
        <v>0.56376999999999999</v>
      </c>
      <c r="I52" s="60"/>
      <c r="J52" s="61">
        <v>5000</v>
      </c>
      <c r="K52" s="62"/>
      <c r="M52" s="26"/>
      <c r="N52" s="71">
        <v>3000</v>
      </c>
      <c r="O52" s="32"/>
      <c r="P52" s="71">
        <v>4700</v>
      </c>
      <c r="Q52" s="26"/>
      <c r="R52" s="71">
        <v>4900</v>
      </c>
    </row>
    <row r="53" spans="1:18">
      <c r="A53" s="42" t="s">
        <v>70</v>
      </c>
      <c r="B53" s="43"/>
      <c r="C53" s="43"/>
      <c r="D53" s="43"/>
      <c r="E53" s="44"/>
      <c r="F53" s="44"/>
      <c r="G53" s="44"/>
      <c r="H53" s="45"/>
      <c r="I53" s="60"/>
      <c r="J53" s="61"/>
      <c r="K53" s="62"/>
      <c r="M53" s="26"/>
      <c r="N53" s="71">
        <v>500</v>
      </c>
      <c r="O53" s="32"/>
      <c r="P53" s="71">
        <v>500</v>
      </c>
      <c r="Q53" s="26"/>
      <c r="R53" s="71">
        <v>500</v>
      </c>
    </row>
    <row r="54" spans="1:18">
      <c r="A54" s="69" t="s">
        <v>72</v>
      </c>
      <c r="B54" s="43">
        <v>397.64</v>
      </c>
      <c r="C54" s="43">
        <v>318.49</v>
      </c>
      <c r="D54" s="43">
        <v>-200</v>
      </c>
      <c r="E54" s="44"/>
      <c r="F54" s="44">
        <f>SUM(D54:E54)</f>
        <v>-200</v>
      </c>
      <c r="G54" s="44">
        <f>I54-F54</f>
        <v>200</v>
      </c>
      <c r="H54" s="45"/>
      <c r="I54" s="46"/>
      <c r="J54" s="70"/>
      <c r="K54" s="62"/>
      <c r="M54" s="26">
        <v>518.49</v>
      </c>
      <c r="N54" s="48"/>
      <c r="O54" s="32"/>
      <c r="P54" s="48"/>
      <c r="Q54" s="26"/>
      <c r="R54" s="48"/>
    </row>
    <row r="55" spans="1:18">
      <c r="A55" s="69" t="s">
        <v>73</v>
      </c>
      <c r="B55" s="43"/>
      <c r="C55" s="43">
        <v>5516.25</v>
      </c>
      <c r="D55" s="43"/>
      <c r="E55" s="44"/>
      <c r="F55" s="72"/>
      <c r="G55" s="72"/>
      <c r="H55" s="73"/>
      <c r="I55" s="60"/>
      <c r="J55" s="74"/>
      <c r="K55" s="62"/>
      <c r="M55" s="26">
        <v>5516.25</v>
      </c>
      <c r="N55" s="71"/>
      <c r="O55" s="32"/>
      <c r="P55" s="71"/>
      <c r="Q55" s="26"/>
      <c r="R55" s="71"/>
    </row>
    <row r="56" spans="1:18">
      <c r="A56" s="42" t="s">
        <v>26</v>
      </c>
      <c r="B56" s="43">
        <v>1920</v>
      </c>
      <c r="C56" s="43"/>
      <c r="D56" s="43">
        <f>1404.99</f>
        <v>1404.99</v>
      </c>
      <c r="E56" s="44">
        <v>1000</v>
      </c>
      <c r="F56" s="44">
        <f t="shared" ref="F56:F57" si="29">E56+D56</f>
        <v>2404.9899999999998</v>
      </c>
      <c r="G56" s="44">
        <f t="shared" ref="G56:G57" si="30">J56-F56</f>
        <v>-1404.9899999999998</v>
      </c>
      <c r="H56" s="45">
        <f t="shared" ref="H56:H57" si="31">F56/J56</f>
        <v>2.4049899999999997</v>
      </c>
      <c r="I56" s="60"/>
      <c r="J56" s="61">
        <v>1000</v>
      </c>
      <c r="K56" s="62"/>
      <c r="M56" s="26"/>
      <c r="N56" s="71">
        <v>500</v>
      </c>
      <c r="O56" s="32" t="s">
        <v>74</v>
      </c>
      <c r="P56" s="71">
        <v>2100</v>
      </c>
      <c r="Q56" s="26"/>
      <c r="R56" s="71">
        <v>2200</v>
      </c>
    </row>
    <row r="57" spans="1:18">
      <c r="A57" s="49" t="s">
        <v>70</v>
      </c>
      <c r="B57" s="50"/>
      <c r="C57" s="50"/>
      <c r="D57" s="50">
        <v>500</v>
      </c>
      <c r="E57" s="51"/>
      <c r="F57" s="51">
        <f t="shared" si="29"/>
        <v>500</v>
      </c>
      <c r="G57" s="51">
        <f t="shared" si="30"/>
        <v>-500</v>
      </c>
      <c r="H57" s="52" t="e">
        <f t="shared" si="31"/>
        <v>#DIV/0!</v>
      </c>
      <c r="I57" s="63"/>
      <c r="J57" s="75"/>
      <c r="K57" s="32"/>
      <c r="M57" s="26"/>
      <c r="N57" s="76">
        <v>500</v>
      </c>
      <c r="O57" s="32"/>
      <c r="P57" s="76">
        <v>500</v>
      </c>
      <c r="Q57" s="26"/>
      <c r="R57" s="76">
        <v>550</v>
      </c>
    </row>
    <row r="58" spans="1:18">
      <c r="A58" t="s">
        <v>75</v>
      </c>
      <c r="B58" s="26"/>
      <c r="C58" s="26">
        <v>254.56</v>
      </c>
      <c r="D58" s="26"/>
      <c r="E58" s="27"/>
      <c r="F58" s="27">
        <f>SUM(D58:E58)</f>
        <v>0</v>
      </c>
      <c r="G58" s="27">
        <f>I58-F58</f>
        <v>0</v>
      </c>
      <c r="H58" s="28"/>
      <c r="I58" s="29"/>
      <c r="J58" s="29"/>
      <c r="K58" s="62"/>
      <c r="M58" s="26">
        <v>254.56</v>
      </c>
      <c r="N58" s="31"/>
      <c r="O58" s="32"/>
      <c r="P58" s="31"/>
      <c r="Q58" s="26"/>
      <c r="R58" s="31"/>
    </row>
    <row r="59" spans="1:18">
      <c r="A59" s="35" t="s">
        <v>76</v>
      </c>
      <c r="B59" s="36"/>
      <c r="C59" s="36"/>
      <c r="D59" s="36"/>
      <c r="E59" s="37"/>
      <c r="F59" s="37"/>
      <c r="G59" s="37"/>
      <c r="H59" s="38"/>
      <c r="I59" s="39">
        <v>7200</v>
      </c>
      <c r="J59" s="40"/>
      <c r="K59" s="189"/>
      <c r="M59" s="26"/>
      <c r="N59" s="41"/>
      <c r="O59" s="32"/>
      <c r="P59" s="41"/>
      <c r="Q59" s="26"/>
      <c r="R59" s="41"/>
    </row>
    <row r="60" spans="1:18">
      <c r="A60" s="42" t="s">
        <v>77</v>
      </c>
      <c r="B60" s="43">
        <v>2378.66</v>
      </c>
      <c r="C60" s="43"/>
      <c r="D60" s="43">
        <v>1378.38</v>
      </c>
      <c r="E60" s="44">
        <f t="shared" ref="E60:E66" si="32">(D60/7)*5</f>
        <v>984.55714285714294</v>
      </c>
      <c r="F60" s="44">
        <f>E60+D60</f>
        <v>2362.937142857143</v>
      </c>
      <c r="G60" s="44">
        <f>J60-F60</f>
        <v>37.062857142856956</v>
      </c>
      <c r="H60" s="45">
        <f>F60/J60</f>
        <v>0.98455714285714291</v>
      </c>
      <c r="I60" s="46"/>
      <c r="J60" s="47">
        <v>2400</v>
      </c>
      <c r="K60" s="189"/>
      <c r="M60" s="26"/>
      <c r="N60" s="48">
        <v>2450</v>
      </c>
      <c r="O60" s="32"/>
      <c r="P60" s="48">
        <v>2470</v>
      </c>
      <c r="Q60" s="26"/>
      <c r="R60" s="48">
        <v>2500</v>
      </c>
    </row>
    <row r="61" spans="1:18">
      <c r="A61" s="42" t="s">
        <v>68</v>
      </c>
      <c r="B61" s="43">
        <v>1576.6</v>
      </c>
      <c r="C61" s="43"/>
      <c r="D61" s="43">
        <v>941.36</v>
      </c>
      <c r="E61" s="44">
        <f t="shared" si="32"/>
        <v>672.4</v>
      </c>
      <c r="F61" s="44">
        <f t="shared" ref="F61:F66" si="33">E61+D61</f>
        <v>1613.76</v>
      </c>
      <c r="G61" s="44">
        <f t="shared" ref="G61:G66" si="34">J61-F61</f>
        <v>6.2400000000000091</v>
      </c>
      <c r="H61" s="45">
        <f t="shared" ref="H61:H66" si="35">F61/J61</f>
        <v>0.99614814814814812</v>
      </c>
      <c r="I61" s="46"/>
      <c r="J61" s="47">
        <v>1620</v>
      </c>
      <c r="K61" s="189"/>
      <c r="M61" s="26"/>
      <c r="N61" s="48">
        <v>1640</v>
      </c>
      <c r="O61" s="32"/>
      <c r="P61" s="48">
        <v>1660</v>
      </c>
      <c r="Q61" s="26"/>
      <c r="R61" s="48">
        <v>1680</v>
      </c>
    </row>
    <row r="62" spans="1:18">
      <c r="A62" s="42" t="s">
        <v>66</v>
      </c>
      <c r="B62" s="43">
        <v>1758.82</v>
      </c>
      <c r="C62" s="43"/>
      <c r="D62" s="43">
        <v>1052.1300000000001</v>
      </c>
      <c r="E62" s="44">
        <f t="shared" si="32"/>
        <v>751.5214285714286</v>
      </c>
      <c r="F62" s="44">
        <f t="shared" si="33"/>
        <v>1803.6514285714288</v>
      </c>
      <c r="G62" s="44">
        <f t="shared" si="34"/>
        <v>6.3485714285711765</v>
      </c>
      <c r="H62" s="45">
        <f t="shared" si="35"/>
        <v>0.99649250197316508</v>
      </c>
      <c r="I62" s="46"/>
      <c r="J62" s="47">
        <v>1810</v>
      </c>
      <c r="K62" s="189"/>
      <c r="M62" s="26"/>
      <c r="N62" s="48">
        <v>1830</v>
      </c>
      <c r="O62" s="32"/>
      <c r="P62" s="48">
        <v>1850</v>
      </c>
      <c r="Q62" s="26"/>
      <c r="R62" s="48">
        <v>1870</v>
      </c>
    </row>
    <row r="63" spans="1:18">
      <c r="A63" s="42" t="s">
        <v>71</v>
      </c>
      <c r="B63" s="43">
        <v>515.54999999999995</v>
      </c>
      <c r="C63" s="43"/>
      <c r="D63" s="43">
        <v>307.77</v>
      </c>
      <c r="E63" s="44">
        <f t="shared" si="32"/>
        <v>219.83571428571426</v>
      </c>
      <c r="F63" s="44">
        <f t="shared" si="33"/>
        <v>527.60571428571427</v>
      </c>
      <c r="G63" s="44">
        <f t="shared" si="34"/>
        <v>12.394285714285729</v>
      </c>
      <c r="H63" s="45">
        <f t="shared" si="35"/>
        <v>0.97704761904761905</v>
      </c>
      <c r="I63" s="46"/>
      <c r="J63" s="47">
        <v>540</v>
      </c>
      <c r="K63" s="189"/>
      <c r="M63" s="26"/>
      <c r="N63" s="48">
        <v>560</v>
      </c>
      <c r="O63" s="32"/>
      <c r="P63" s="48">
        <v>580</v>
      </c>
      <c r="Q63" s="26"/>
      <c r="R63" s="48">
        <v>600</v>
      </c>
    </row>
    <row r="64" spans="1:18">
      <c r="A64" s="42" t="s">
        <v>73</v>
      </c>
      <c r="B64" s="43"/>
      <c r="C64" s="43"/>
      <c r="D64" s="43">
        <v>126</v>
      </c>
      <c r="E64" s="44">
        <f t="shared" si="32"/>
        <v>90</v>
      </c>
      <c r="F64" s="44">
        <f t="shared" si="33"/>
        <v>216</v>
      </c>
      <c r="G64" s="44">
        <f t="shared" si="34"/>
        <v>14</v>
      </c>
      <c r="H64" s="45">
        <f t="shared" si="35"/>
        <v>0.93913043478260871</v>
      </c>
      <c r="I64" s="46"/>
      <c r="J64" s="47">
        <v>230</v>
      </c>
      <c r="K64" s="189"/>
      <c r="M64" s="26"/>
      <c r="N64" s="48">
        <v>250</v>
      </c>
      <c r="O64" s="32"/>
      <c r="P64" s="48">
        <v>270</v>
      </c>
      <c r="Q64" s="26"/>
      <c r="R64" s="48">
        <v>300</v>
      </c>
    </row>
    <row r="65" spans="1:20">
      <c r="A65" s="42" t="s">
        <v>78</v>
      </c>
      <c r="B65" s="203">
        <v>563.09</v>
      </c>
      <c r="C65" s="43"/>
      <c r="D65" s="43">
        <v>168.11</v>
      </c>
      <c r="E65" s="44">
        <f t="shared" si="32"/>
        <v>120.07857142857145</v>
      </c>
      <c r="F65" s="44">
        <f t="shared" si="33"/>
        <v>288.18857142857144</v>
      </c>
      <c r="G65" s="44">
        <f t="shared" si="34"/>
        <v>11.811428571428564</v>
      </c>
      <c r="H65" s="45">
        <f t="shared" si="35"/>
        <v>0.9606285714285715</v>
      </c>
      <c r="I65" s="46"/>
      <c r="J65" s="47">
        <v>300</v>
      </c>
      <c r="K65" s="189"/>
      <c r="M65" s="26"/>
      <c r="N65" s="48">
        <v>320</v>
      </c>
      <c r="O65" s="32"/>
      <c r="P65" s="48">
        <v>340</v>
      </c>
      <c r="Q65" s="26"/>
      <c r="R65" s="48">
        <v>360</v>
      </c>
    </row>
    <row r="66" spans="1:20">
      <c r="A66" s="49" t="s">
        <v>79</v>
      </c>
      <c r="B66" s="204"/>
      <c r="C66" s="50"/>
      <c r="D66" s="50">
        <v>168.11</v>
      </c>
      <c r="E66" s="51">
        <f t="shared" si="32"/>
        <v>120.07857142857145</v>
      </c>
      <c r="F66" s="51">
        <f t="shared" si="33"/>
        <v>288.18857142857144</v>
      </c>
      <c r="G66" s="51">
        <f t="shared" si="34"/>
        <v>11.811428571428564</v>
      </c>
      <c r="H66" s="52">
        <f t="shared" si="35"/>
        <v>0.9606285714285715</v>
      </c>
      <c r="I66" s="53"/>
      <c r="J66" s="54">
        <v>300</v>
      </c>
      <c r="K66" s="189"/>
      <c r="M66" s="26"/>
      <c r="N66" s="55">
        <v>320</v>
      </c>
      <c r="O66" s="32"/>
      <c r="P66" s="55">
        <v>340</v>
      </c>
      <c r="Q66" s="26"/>
      <c r="R66" s="55">
        <v>360</v>
      </c>
      <c r="T66" s="26"/>
    </row>
    <row r="67" spans="1:20">
      <c r="A67" t="s">
        <v>80</v>
      </c>
      <c r="B67" s="26">
        <v>3942.6</v>
      </c>
      <c r="C67" s="26">
        <v>10749.79</v>
      </c>
      <c r="D67" s="26"/>
      <c r="E67" s="27"/>
      <c r="F67" s="27">
        <f t="shared" ref="F67:F72" si="36">SUM(D67:E67)</f>
        <v>0</v>
      </c>
      <c r="G67" s="27">
        <f t="shared" ref="G67:G73" si="37">I67-F67</f>
        <v>0</v>
      </c>
      <c r="H67" s="28"/>
      <c r="I67" s="29"/>
      <c r="J67" s="29"/>
      <c r="K67" s="189"/>
      <c r="M67" s="26">
        <v>10749.79</v>
      </c>
      <c r="N67" s="31"/>
      <c r="O67" s="32"/>
      <c r="P67" s="31"/>
      <c r="Q67" s="26"/>
      <c r="R67" s="31"/>
    </row>
    <row r="68" spans="1:20" s="83" customFormat="1">
      <c r="A68" s="77" t="s">
        <v>68</v>
      </c>
      <c r="B68" s="78">
        <v>-10275</v>
      </c>
      <c r="C68" s="78"/>
      <c r="D68" s="78">
        <v>-2100</v>
      </c>
      <c r="E68" s="79">
        <f>(D68/7)*5</f>
        <v>-1500</v>
      </c>
      <c r="F68" s="79">
        <f t="shared" si="36"/>
        <v>-3600</v>
      </c>
      <c r="G68" s="79">
        <f t="shared" si="37"/>
        <v>-2400</v>
      </c>
      <c r="H68" s="80">
        <f>F68/I68</f>
        <v>0.6</v>
      </c>
      <c r="I68" s="81">
        <v>-6000</v>
      </c>
      <c r="J68" s="82">
        <v>-6000</v>
      </c>
      <c r="K68" s="190"/>
      <c r="M68" s="78"/>
      <c r="N68" s="84">
        <v>-6000</v>
      </c>
      <c r="O68" s="85"/>
      <c r="P68" s="84">
        <v>-6000</v>
      </c>
      <c r="Q68" s="78"/>
      <c r="R68" s="84">
        <v>-6000</v>
      </c>
    </row>
    <row r="69" spans="1:20">
      <c r="A69" t="s">
        <v>81</v>
      </c>
      <c r="B69" s="26"/>
      <c r="C69" s="26">
        <v>8770.2000000000007</v>
      </c>
      <c r="D69" s="26"/>
      <c r="E69" s="27"/>
      <c r="F69" s="27">
        <f t="shared" si="36"/>
        <v>0</v>
      </c>
      <c r="G69" s="27">
        <f t="shared" si="37"/>
        <v>0</v>
      </c>
      <c r="H69" s="28"/>
      <c r="I69" s="29"/>
      <c r="J69" s="29"/>
      <c r="K69" s="62"/>
      <c r="M69" s="26">
        <v>12174.56</v>
      </c>
      <c r="N69" s="31"/>
      <c r="O69" s="32"/>
      <c r="P69" s="31"/>
      <c r="Q69" s="26"/>
      <c r="R69" s="31"/>
    </row>
    <row r="70" spans="1:20" s="83" customFormat="1">
      <c r="A70" s="77" t="s">
        <v>82</v>
      </c>
      <c r="B70" s="78">
        <v>-287.17</v>
      </c>
      <c r="C70" s="78"/>
      <c r="D70" s="78"/>
      <c r="E70" s="79">
        <v>-400</v>
      </c>
      <c r="F70" s="79">
        <f t="shared" si="36"/>
        <v>-400</v>
      </c>
      <c r="G70" s="79">
        <f t="shared" si="37"/>
        <v>200</v>
      </c>
      <c r="H70" s="80">
        <f>F70/I70</f>
        <v>2</v>
      </c>
      <c r="I70" s="81">
        <v>-200</v>
      </c>
      <c r="J70" s="82">
        <v>-200</v>
      </c>
      <c r="K70" s="192"/>
      <c r="M70" s="78"/>
      <c r="N70" s="84">
        <v>-250</v>
      </c>
      <c r="O70" s="85"/>
      <c r="P70" s="84">
        <v>-200</v>
      </c>
      <c r="Q70" s="78"/>
      <c r="R70" s="84">
        <v>-200</v>
      </c>
    </row>
    <row r="71" spans="1:20" s="83" customFormat="1">
      <c r="A71" s="77" t="s">
        <v>83</v>
      </c>
      <c r="B71" s="78">
        <v>-2813.7</v>
      </c>
      <c r="C71" s="78"/>
      <c r="D71" s="78">
        <v>-3235.45</v>
      </c>
      <c r="E71" s="79"/>
      <c r="F71" s="79">
        <f>SUM(D71:E71)</f>
        <v>-3235.45</v>
      </c>
      <c r="G71" s="79">
        <f>I71-F71</f>
        <v>235.44999999999982</v>
      </c>
      <c r="H71" s="80">
        <f>F71/I71</f>
        <v>1.0784833333333332</v>
      </c>
      <c r="I71" s="81">
        <v>-3000</v>
      </c>
      <c r="J71" s="82">
        <v>-3000</v>
      </c>
      <c r="K71" s="190"/>
      <c r="M71" s="78"/>
      <c r="N71" s="84">
        <v>-3250</v>
      </c>
      <c r="O71" s="85"/>
      <c r="P71" s="84">
        <v>-3250</v>
      </c>
      <c r="Q71" s="78"/>
      <c r="R71" s="84">
        <v>-3000</v>
      </c>
    </row>
    <row r="72" spans="1:20" s="83" customFormat="1">
      <c r="A72" s="77" t="s">
        <v>84</v>
      </c>
      <c r="B72" s="78"/>
      <c r="C72" s="78"/>
      <c r="D72" s="78">
        <v>-167.72</v>
      </c>
      <c r="E72" s="79"/>
      <c r="F72" s="79">
        <f t="shared" si="36"/>
        <v>-167.72</v>
      </c>
      <c r="G72" s="79">
        <f t="shared" si="37"/>
        <v>167.72</v>
      </c>
      <c r="H72" s="80"/>
      <c r="I72" s="81"/>
      <c r="J72" s="81"/>
      <c r="K72" s="192"/>
      <c r="M72" s="78"/>
      <c r="N72" s="84"/>
      <c r="O72" s="85"/>
      <c r="P72" s="84"/>
      <c r="Q72" s="78"/>
      <c r="R72" s="84"/>
    </row>
    <row r="73" spans="1:20">
      <c r="A73" s="35" t="s">
        <v>85</v>
      </c>
      <c r="B73" s="36"/>
      <c r="C73" s="36">
        <v>385.32</v>
      </c>
      <c r="D73" s="36"/>
      <c r="E73" s="37"/>
      <c r="F73" s="37">
        <f>SUM(D73:E73)</f>
        <v>0</v>
      </c>
      <c r="G73" s="37">
        <f t="shared" si="37"/>
        <v>0</v>
      </c>
      <c r="H73" s="38"/>
      <c r="I73" s="86"/>
      <c r="J73" s="87"/>
      <c r="K73" s="62"/>
      <c r="M73" s="26">
        <f>C73-F73</f>
        <v>385.32</v>
      </c>
      <c r="N73" s="88"/>
      <c r="O73" s="89"/>
      <c r="P73" s="88"/>
      <c r="Q73" s="90"/>
      <c r="R73" s="88"/>
    </row>
    <row r="74" spans="1:20">
      <c r="A74" s="91" t="s">
        <v>86</v>
      </c>
      <c r="B74" s="43"/>
      <c r="C74" s="43"/>
      <c r="D74" s="43">
        <v>-23167.599999999999</v>
      </c>
      <c r="E74" s="44"/>
      <c r="F74" s="44"/>
      <c r="G74" s="44"/>
      <c r="H74" s="45"/>
      <c r="I74" s="92"/>
      <c r="J74" s="93"/>
      <c r="K74" s="62"/>
      <c r="M74" s="26"/>
      <c r="N74" s="88"/>
      <c r="O74" s="89"/>
      <c r="P74" s="88"/>
      <c r="Q74" s="90"/>
      <c r="R74" s="88"/>
    </row>
    <row r="75" spans="1:20" s="100" customFormat="1">
      <c r="A75" s="94" t="s">
        <v>87</v>
      </c>
      <c r="B75" s="95"/>
      <c r="C75" s="95"/>
      <c r="D75" s="95">
        <v>9317.6</v>
      </c>
      <c r="E75" s="96"/>
      <c r="F75" s="96"/>
      <c r="G75" s="96"/>
      <c r="H75" s="97"/>
      <c r="I75" s="98"/>
      <c r="J75" s="99"/>
      <c r="K75" s="193"/>
      <c r="M75" s="101"/>
      <c r="N75" s="102"/>
      <c r="O75" s="103"/>
      <c r="P75" s="102"/>
      <c r="Q75" s="104"/>
      <c r="R75" s="102"/>
    </row>
    <row r="76" spans="1:20">
      <c r="A76" t="s">
        <v>88</v>
      </c>
      <c r="B76" s="26"/>
      <c r="C76" s="26"/>
      <c r="D76" s="26"/>
      <c r="E76" s="27"/>
      <c r="F76" s="27"/>
      <c r="G76" s="27"/>
      <c r="H76" s="28"/>
      <c r="I76" s="105">
        <v>7500</v>
      </c>
      <c r="J76" s="106">
        <v>7500</v>
      </c>
      <c r="K76" s="62"/>
      <c r="M76" s="26"/>
      <c r="N76" s="31">
        <v>15000</v>
      </c>
      <c r="O76" s="89"/>
      <c r="P76" s="107">
        <v>5000</v>
      </c>
      <c r="Q76" s="108"/>
      <c r="R76" s="107">
        <v>5000</v>
      </c>
    </row>
    <row r="77" spans="1:20">
      <c r="A77" t="s">
        <v>89</v>
      </c>
      <c r="B77" s="26"/>
      <c r="C77" s="27"/>
      <c r="E77" s="27"/>
      <c r="F77" s="27">
        <f>SUM(D77:E77)</f>
        <v>0</v>
      </c>
      <c r="G77" s="27"/>
      <c r="H77" s="28"/>
      <c r="I77" s="105">
        <v>5000</v>
      </c>
      <c r="J77" s="106">
        <v>5000</v>
      </c>
      <c r="K77" s="62"/>
      <c r="M77" s="27"/>
      <c r="N77" s="107">
        <v>0</v>
      </c>
      <c r="O77" s="109"/>
      <c r="P77" s="107">
        <v>5000</v>
      </c>
      <c r="Q77" s="108"/>
      <c r="R77" s="107">
        <v>10000</v>
      </c>
    </row>
    <row r="78" spans="1:20">
      <c r="A78" t="s">
        <v>90</v>
      </c>
      <c r="B78" s="26"/>
      <c r="C78" s="27"/>
      <c r="D78" s="27">
        <v>7451</v>
      </c>
      <c r="E78" s="27">
        <v>-7451</v>
      </c>
      <c r="F78" s="27"/>
      <c r="G78" s="27"/>
      <c r="H78" s="28"/>
      <c r="I78" s="105"/>
      <c r="J78" s="105"/>
      <c r="K78" s="62"/>
      <c r="M78" s="27"/>
      <c r="N78" s="107"/>
      <c r="O78" s="109"/>
      <c r="P78" s="107"/>
      <c r="Q78" s="108"/>
      <c r="R78" s="107"/>
    </row>
    <row r="79" spans="1:20">
      <c r="A79" t="s">
        <v>91</v>
      </c>
      <c r="B79" s="26"/>
      <c r="C79" s="27"/>
      <c r="E79" s="27"/>
      <c r="F79" s="27"/>
      <c r="G79" s="27"/>
      <c r="H79" s="28"/>
      <c r="I79" s="105">
        <v>3000</v>
      </c>
      <c r="J79" s="106">
        <v>3000</v>
      </c>
      <c r="K79" s="194"/>
      <c r="M79" s="27"/>
      <c r="N79" s="107"/>
      <c r="O79" s="109"/>
      <c r="P79" s="107"/>
      <c r="Q79" s="108"/>
      <c r="R79" s="107"/>
    </row>
    <row r="80" spans="1:20">
      <c r="A80" t="s">
        <v>92</v>
      </c>
      <c r="B80" s="26"/>
      <c r="C80" s="27"/>
      <c r="E80" s="27"/>
      <c r="F80" s="27"/>
      <c r="G80" s="27"/>
      <c r="H80" s="28"/>
      <c r="I80" s="105"/>
      <c r="J80" s="105"/>
      <c r="K80" s="190"/>
      <c r="M80" s="27"/>
      <c r="N80" s="107">
        <v>12000</v>
      </c>
      <c r="O80" s="109" t="s">
        <v>93</v>
      </c>
      <c r="P80" s="107">
        <v>20000</v>
      </c>
      <c r="Q80" s="108"/>
      <c r="R80" s="107">
        <v>25000</v>
      </c>
    </row>
    <row r="81" spans="1:18" ht="15.75">
      <c r="A81" s="110"/>
      <c r="B81" s="78"/>
      <c r="C81" s="79"/>
      <c r="D81" s="111"/>
      <c r="E81" s="111"/>
      <c r="F81" s="111"/>
      <c r="G81" s="111"/>
      <c r="H81" s="112"/>
      <c r="I81" s="113"/>
      <c r="J81" s="113"/>
      <c r="K81" s="195"/>
      <c r="L81" s="83"/>
      <c r="M81" s="111"/>
      <c r="N81" s="114"/>
      <c r="O81" s="115"/>
      <c r="P81" s="114"/>
      <c r="Q81" s="116"/>
      <c r="R81" s="114"/>
    </row>
    <row r="82" spans="1:18" ht="15.75">
      <c r="A82" s="117" t="s">
        <v>6</v>
      </c>
      <c r="B82" s="118"/>
      <c r="C82" s="119"/>
      <c r="D82" s="120"/>
      <c r="E82" s="121"/>
      <c r="F82" s="121"/>
      <c r="G82" s="121"/>
      <c r="H82" s="121"/>
      <c r="I82" s="122"/>
      <c r="J82" s="122"/>
      <c r="K82" s="196"/>
      <c r="L82" s="123"/>
      <c r="M82" s="124"/>
      <c r="N82" s="125"/>
      <c r="O82" s="126"/>
      <c r="P82" s="125"/>
      <c r="Q82" s="127"/>
      <c r="R82" s="125"/>
    </row>
    <row r="83" spans="1:18" ht="24" thickBot="1">
      <c r="A83" s="128" t="s">
        <v>18</v>
      </c>
      <c r="B83" s="129">
        <f t="shared" ref="B83:G83" si="38">SUM(B4:B81)</f>
        <v>93059.000000000029</v>
      </c>
      <c r="C83" s="27">
        <f t="shared" si="38"/>
        <v>44606.560000000005</v>
      </c>
      <c r="D83" s="130">
        <f t="shared" si="38"/>
        <v>43322.979999999996</v>
      </c>
      <c r="E83" s="130">
        <f>SUM(E4:E81)</f>
        <v>38025.408571428583</v>
      </c>
      <c r="F83" s="130">
        <f t="shared" si="38"/>
        <v>95198.388571428601</v>
      </c>
      <c r="G83" s="130">
        <f t="shared" si="38"/>
        <v>5402.6114285714275</v>
      </c>
      <c r="H83" s="131"/>
      <c r="I83" s="132">
        <f>SUM(I4:I81)</f>
        <v>118600</v>
      </c>
      <c r="J83" s="132">
        <f>SUM(J4:J81)</f>
        <v>116101</v>
      </c>
      <c r="K83" s="197"/>
      <c r="L83" s="133"/>
      <c r="M83" s="27">
        <f>SUM(M4:M81)</f>
        <v>48210.920000000006</v>
      </c>
      <c r="N83" s="134">
        <f>SUM(N4:N81)</f>
        <v>125500</v>
      </c>
      <c r="P83" s="134">
        <f>SUM(P4:P81)</f>
        <v>135850</v>
      </c>
      <c r="Q83" s="135"/>
      <c r="R83" s="134">
        <f>SUM(R4:R81)</f>
        <v>147835</v>
      </c>
    </row>
    <row r="84" spans="1:18" ht="15.75" thickTop="1">
      <c r="A84" s="136"/>
      <c r="E84" s="138"/>
      <c r="F84" s="138"/>
      <c r="G84" s="138"/>
      <c r="H84" s="138"/>
      <c r="I84" s="29">
        <f>I83+I97</f>
        <v>115800</v>
      </c>
      <c r="J84" s="29">
        <f>J83+J94+J95+J96+J97</f>
        <v>115802</v>
      </c>
      <c r="K84" s="197"/>
      <c r="N84" s="139"/>
      <c r="P84" s="139"/>
      <c r="Q84" s="140"/>
      <c r="R84" s="139"/>
    </row>
    <row r="85" spans="1:18">
      <c r="A85" s="141" t="s">
        <v>94</v>
      </c>
      <c r="B85" s="142"/>
      <c r="C85" s="143"/>
      <c r="D85" s="120"/>
      <c r="E85" s="144"/>
      <c r="F85" s="144"/>
      <c r="G85" s="144"/>
      <c r="H85" s="144"/>
      <c r="I85" s="145">
        <f>(I83-99011)/99011</f>
        <v>0.19784670390158668</v>
      </c>
      <c r="J85" s="145">
        <f>(J83-99011)/99011</f>
        <v>0.17260708406136691</v>
      </c>
      <c r="K85" s="198"/>
      <c r="L85" s="141"/>
      <c r="M85" s="143"/>
      <c r="N85" s="146">
        <f>(N83-J84)/J83</f>
        <v>8.3530718942989288E-2</v>
      </c>
      <c r="P85" s="146">
        <f>(P83-N83)/N83</f>
        <v>8.2470119521912355E-2</v>
      </c>
      <c r="Q85" s="147"/>
      <c r="R85" s="146">
        <f>(R83-P83)/P83</f>
        <v>8.8222304011777691E-2</v>
      </c>
    </row>
    <row r="86" spans="1:18">
      <c r="E86" s="138"/>
      <c r="F86" s="138"/>
      <c r="G86" s="138"/>
      <c r="H86" s="138"/>
      <c r="I86" s="105"/>
      <c r="J86" s="105"/>
      <c r="K86" s="199"/>
    </row>
    <row r="87" spans="1:18">
      <c r="A87" s="141"/>
      <c r="E87" s="138"/>
      <c r="F87" s="138"/>
      <c r="G87" s="138"/>
      <c r="H87" s="142" t="s">
        <v>95</v>
      </c>
      <c r="I87" s="148">
        <v>69.8</v>
      </c>
      <c r="J87" s="29">
        <v>69.8</v>
      </c>
      <c r="M87" s="142" t="s">
        <v>128</v>
      </c>
      <c r="N87" s="27">
        <f>N83/M98</f>
        <v>75.968523002421307</v>
      </c>
      <c r="P87" s="27">
        <f>P83/O98</f>
        <v>81.738868832731654</v>
      </c>
      <c r="Q87" s="26"/>
      <c r="R87" s="27">
        <f>R83/O98</f>
        <v>88.950060168471722</v>
      </c>
    </row>
    <row r="88" spans="1:18">
      <c r="A88" s="136"/>
      <c r="E88" s="138"/>
      <c r="F88" s="138"/>
      <c r="G88" s="138"/>
      <c r="H88" s="149" t="s">
        <v>96</v>
      </c>
      <c r="I88" s="150">
        <f>(I87-59.79)/59.79</f>
        <v>0.16741930088643583</v>
      </c>
      <c r="J88" s="150">
        <f>(J87-59.79)/59.79</f>
        <v>0.16741930088643583</v>
      </c>
      <c r="M88" s="149" t="s">
        <v>97</v>
      </c>
      <c r="N88" s="151">
        <f>(N87-J87)/J87</f>
        <v>8.8374255049015901E-2</v>
      </c>
      <c r="P88" s="152">
        <f>(P87-N87)/N87</f>
        <v>7.5957062244403933E-2</v>
      </c>
      <c r="Q88" s="153"/>
      <c r="R88" s="152">
        <f>(R87-P87)/P87</f>
        <v>8.8222304011777636E-2</v>
      </c>
    </row>
    <row r="89" spans="1:18">
      <c r="A89" s="138"/>
      <c r="E89" s="138"/>
      <c r="F89" s="138"/>
      <c r="G89" s="138"/>
      <c r="H89" s="149" t="s">
        <v>98</v>
      </c>
      <c r="I89" s="154">
        <f>I87-59.79</f>
        <v>10.009999999999998</v>
      </c>
      <c r="J89" s="154">
        <f>J87-59.79</f>
        <v>10.009999999999998</v>
      </c>
      <c r="M89" s="149" t="s">
        <v>96</v>
      </c>
      <c r="N89" s="155">
        <f>N87-J87</f>
        <v>6.1685230024213098</v>
      </c>
      <c r="O89" s="156"/>
      <c r="P89" s="155">
        <f>P87-N87</f>
        <v>5.7703458303103474</v>
      </c>
      <c r="Q89" s="157"/>
      <c r="R89" s="155">
        <f>R87-P87</f>
        <v>7.2111913357400681</v>
      </c>
    </row>
    <row r="90" spans="1:18">
      <c r="A90" s="138"/>
      <c r="E90" s="138"/>
      <c r="F90" s="138"/>
      <c r="G90" s="138"/>
      <c r="H90" s="158" t="s">
        <v>99</v>
      </c>
      <c r="I90" s="159">
        <f>I89/12</f>
        <v>0.8341666666666665</v>
      </c>
      <c r="J90" s="159">
        <f>J89/12</f>
        <v>0.8341666666666665</v>
      </c>
      <c r="M90" s="123" t="s">
        <v>99</v>
      </c>
      <c r="N90" s="155">
        <f>N89/12</f>
        <v>0.51404358353510915</v>
      </c>
      <c r="P90" s="155">
        <f>P89/12</f>
        <v>0.48086215252586229</v>
      </c>
      <c r="Q90" s="157"/>
      <c r="R90" s="155">
        <f>R89/12</f>
        <v>0.6009326113116723</v>
      </c>
    </row>
    <row r="91" spans="1:18">
      <c r="A91" s="136"/>
      <c r="E91" s="138"/>
      <c r="F91" s="138"/>
      <c r="G91" s="138"/>
      <c r="H91" s="138"/>
    </row>
    <row r="92" spans="1:18" hidden="1">
      <c r="A92" t="s">
        <v>100</v>
      </c>
      <c r="B92" s="26"/>
      <c r="D92" s="26"/>
      <c r="E92" s="27"/>
      <c r="F92" s="27"/>
      <c r="G92" s="27"/>
      <c r="H92" s="28"/>
      <c r="I92" s="29"/>
      <c r="J92" s="29"/>
      <c r="K92" s="62"/>
      <c r="N92" s="26"/>
      <c r="O92" s="32"/>
      <c r="P92" s="26"/>
      <c r="Q92" s="26"/>
      <c r="R92" s="26"/>
    </row>
    <row r="93" spans="1:18" hidden="1">
      <c r="A93" s="62" t="s">
        <v>101</v>
      </c>
      <c r="B93" s="26"/>
      <c r="C93" s="26">
        <v>2000</v>
      </c>
      <c r="D93" s="26"/>
      <c r="E93" s="27"/>
      <c r="F93" s="27"/>
      <c r="G93" s="27"/>
      <c r="H93" s="28"/>
      <c r="I93" s="29"/>
      <c r="J93" s="29"/>
      <c r="K93" s="62"/>
      <c r="M93" s="26">
        <v>6598.01</v>
      </c>
      <c r="N93" s="26"/>
      <c r="O93" s="32"/>
      <c r="P93" s="26"/>
      <c r="Q93" s="26"/>
      <c r="R93" s="26"/>
    </row>
    <row r="94" spans="1:18" hidden="1">
      <c r="A94" s="62" t="s">
        <v>102</v>
      </c>
      <c r="B94" s="26">
        <f>3.5+123.72+155.34</f>
        <v>282.56</v>
      </c>
      <c r="C94" s="26"/>
      <c r="D94" s="26">
        <v>106.88</v>
      </c>
      <c r="E94" s="27">
        <v>1000</v>
      </c>
      <c r="F94" s="44">
        <f t="shared" ref="F94:F96" si="39">E94+D94</f>
        <v>1106.8800000000001</v>
      </c>
      <c r="G94" s="44">
        <f t="shared" ref="G94:G96" si="40">J94-F94</f>
        <v>106.11999999999989</v>
      </c>
      <c r="H94" s="45">
        <f t="shared" ref="H94:H96" si="41">F94/J94</f>
        <v>0.91251442704039576</v>
      </c>
      <c r="I94" s="29"/>
      <c r="J94" s="30">
        <v>1213</v>
      </c>
      <c r="K94" s="62"/>
      <c r="M94" s="26"/>
      <c r="N94" s="31">
        <v>1200</v>
      </c>
      <c r="O94" s="32"/>
      <c r="P94" s="31">
        <v>1200</v>
      </c>
      <c r="Q94" s="26"/>
      <c r="R94" s="31">
        <v>1200</v>
      </c>
    </row>
    <row r="95" spans="1:18" hidden="1">
      <c r="A95" s="62" t="s">
        <v>69</v>
      </c>
      <c r="B95" s="26">
        <v>603.6</v>
      </c>
      <c r="C95" s="26"/>
      <c r="D95" s="26">
        <v>251.7</v>
      </c>
      <c r="E95" s="27">
        <f>D95/7*5</f>
        <v>179.78571428571428</v>
      </c>
      <c r="F95" s="44">
        <f t="shared" si="39"/>
        <v>431.48571428571427</v>
      </c>
      <c r="G95" s="44">
        <f t="shared" si="40"/>
        <v>68.514285714285734</v>
      </c>
      <c r="H95" s="45">
        <f t="shared" si="41"/>
        <v>0.8629714285714285</v>
      </c>
      <c r="I95" s="29"/>
      <c r="J95" s="30">
        <v>500</v>
      </c>
      <c r="K95" s="62"/>
      <c r="M95" s="26"/>
      <c r="N95" s="31">
        <v>500</v>
      </c>
      <c r="O95" s="32"/>
      <c r="P95" s="31">
        <v>500</v>
      </c>
      <c r="Q95" s="26"/>
      <c r="R95" s="31">
        <v>500</v>
      </c>
    </row>
    <row r="96" spans="1:18" hidden="1">
      <c r="A96" s="62" t="s">
        <v>103</v>
      </c>
      <c r="B96" s="26">
        <f>393.75*2</f>
        <v>787.5</v>
      </c>
      <c r="C96" s="26"/>
      <c r="D96" s="26">
        <v>787.5</v>
      </c>
      <c r="E96" s="27"/>
      <c r="F96" s="44">
        <f t="shared" si="39"/>
        <v>787.5</v>
      </c>
      <c r="G96" s="44">
        <f t="shared" si="40"/>
        <v>0.5</v>
      </c>
      <c r="H96" s="45">
        <f t="shared" si="41"/>
        <v>0.99936548223350252</v>
      </c>
      <c r="I96" s="29"/>
      <c r="J96" s="30">
        <v>788</v>
      </c>
      <c r="K96" s="62"/>
      <c r="M96" s="26"/>
      <c r="N96" s="31">
        <v>800</v>
      </c>
      <c r="O96" s="32"/>
      <c r="P96" s="31">
        <v>800</v>
      </c>
      <c r="Q96" s="26"/>
      <c r="R96" s="31">
        <v>800</v>
      </c>
    </row>
    <row r="97" spans="1:18" s="83" customFormat="1" hidden="1">
      <c r="A97" s="77" t="s">
        <v>104</v>
      </c>
      <c r="B97" s="78">
        <v>-3042.19</v>
      </c>
      <c r="C97" s="78"/>
      <c r="D97" s="78">
        <v>-2815.34</v>
      </c>
      <c r="E97" s="78">
        <v>-123.75</v>
      </c>
      <c r="F97" s="79">
        <f>SUM(D97:E97)</f>
        <v>-2939.09</v>
      </c>
      <c r="G97" s="79">
        <f>I97-F97</f>
        <v>139.09000000000015</v>
      </c>
      <c r="H97" s="80">
        <f>F97/I97</f>
        <v>1.0496750000000001</v>
      </c>
      <c r="I97" s="81">
        <v>-2800</v>
      </c>
      <c r="J97" s="82">
        <v>-2800</v>
      </c>
      <c r="K97" s="192"/>
      <c r="M97" s="78"/>
      <c r="N97" s="84">
        <v>-2800</v>
      </c>
      <c r="O97" s="85"/>
      <c r="P97" s="84">
        <v>-2800</v>
      </c>
      <c r="Q97" s="78"/>
      <c r="R97" s="84">
        <v>-2800</v>
      </c>
    </row>
    <row r="98" spans="1:18">
      <c r="A98" s="136"/>
      <c r="B98" s="26"/>
      <c r="E98" s="138"/>
      <c r="F98" s="138"/>
      <c r="G98" s="138"/>
      <c r="H98" s="138"/>
      <c r="K98" s="200">
        <v>1659</v>
      </c>
      <c r="M98">
        <v>1652</v>
      </c>
      <c r="O98" s="62">
        <v>1662</v>
      </c>
    </row>
    <row r="99" spans="1:18">
      <c r="A99" s="138"/>
      <c r="B99" s="26"/>
      <c r="E99" s="138"/>
      <c r="F99" s="138"/>
      <c r="G99" s="138"/>
      <c r="H99" s="138"/>
      <c r="I99"/>
      <c r="J99"/>
      <c r="N99" s="27"/>
      <c r="P99" s="27"/>
    </row>
    <row r="100" spans="1:18">
      <c r="A100" s="161"/>
      <c r="E100" s="138"/>
      <c r="F100" s="138"/>
      <c r="G100" s="138"/>
      <c r="H100" s="138"/>
      <c r="R100" s="27"/>
    </row>
  </sheetData>
  <mergeCells count="7">
    <mergeCell ref="P32:P33"/>
    <mergeCell ref="R32:R33"/>
    <mergeCell ref="B65:B66"/>
    <mergeCell ref="H1:H3"/>
    <mergeCell ref="B20:B22"/>
    <mergeCell ref="I32:I33"/>
    <mergeCell ref="N32:N33"/>
  </mergeCells>
  <pageMargins left="0.24" right="0.2" top="0.28000000000000003" bottom="0.25" header="0.17" footer="0.14000000000000001"/>
  <pageSetup paperSize="9" scale="41" orientation="landscape" r:id="rId1"/>
  <headerFooter>
    <oddHeader>&amp;L&amp;18Brundall Parish Council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9"/>
  <sheetViews>
    <sheetView view="pageBreakPreview" zoomScale="96" zoomScaleNormal="100" zoomScaleSheetLayoutView="96" workbookViewId="0">
      <pane xSplit="1" ySplit="4" topLeftCell="B5" activePane="bottomRight" state="frozen"/>
      <selection activeCell="P81" sqref="P81"/>
      <selection pane="topRight" activeCell="P81" sqref="P81"/>
      <selection pane="bottomLeft" activeCell="P81" sqref="P81"/>
      <selection pane="bottomRight" activeCell="V4" sqref="V4"/>
    </sheetView>
  </sheetViews>
  <sheetFormatPr defaultColWidth="8.85546875" defaultRowHeight="15"/>
  <cols>
    <col min="1" max="1" width="29" bestFit="1" customWidth="1"/>
    <col min="2" max="2" width="11.5703125" bestFit="1" customWidth="1"/>
    <col min="3" max="3" width="2.140625" customWidth="1"/>
    <col min="4" max="4" width="11.5703125" bestFit="1" customWidth="1"/>
    <col min="5" max="5" width="2.140625" customWidth="1"/>
    <col min="6" max="6" width="10.5703125" bestFit="1" customWidth="1"/>
    <col min="7" max="7" width="2.140625" customWidth="1"/>
    <col min="8" max="8" width="10.5703125" style="100" bestFit="1" customWidth="1"/>
    <col min="9" max="9" width="2.140625" customWidth="1"/>
    <col min="10" max="10" width="10.5703125" style="100" bestFit="1" customWidth="1"/>
    <col min="11" max="11" width="2.140625" style="100" customWidth="1"/>
    <col min="12" max="12" width="10.85546875" style="163" customWidth="1"/>
    <col min="13" max="13" width="2.140625" style="100" customWidth="1"/>
    <col min="14" max="14" width="10.5703125" bestFit="1" customWidth="1"/>
    <col min="15" max="15" width="2.140625" customWidth="1"/>
    <col min="16" max="16" width="9.5703125" bestFit="1" customWidth="1"/>
    <col min="17" max="17" width="2.28515625" customWidth="1"/>
    <col min="18" max="18" width="9.5703125" bestFit="1" customWidth="1"/>
    <col min="19" max="19" width="2.28515625" customWidth="1"/>
    <col min="20" max="20" width="10.7109375" style="163" bestFit="1" customWidth="1"/>
    <col min="21" max="21" width="2.28515625" customWidth="1"/>
    <col min="22" max="22" width="41" bestFit="1" customWidth="1"/>
    <col min="24" max="24" width="25.5703125" hidden="1" customWidth="1"/>
    <col min="25" max="27" width="0" hidden="1" customWidth="1"/>
    <col min="28" max="28" width="9.5703125" hidden="1" customWidth="1"/>
    <col min="29" max="29" width="0" hidden="1" customWidth="1"/>
    <col min="30" max="30" width="9.5703125" hidden="1" customWidth="1"/>
    <col min="31" max="32" width="0" hidden="1" customWidth="1"/>
  </cols>
  <sheetData>
    <row r="1" spans="1:32" ht="18.75">
      <c r="A1" s="162" t="s">
        <v>61</v>
      </c>
      <c r="L1" s="100"/>
      <c r="T1"/>
    </row>
    <row r="2" spans="1:32">
      <c r="N2" s="164"/>
      <c r="O2" s="164"/>
      <c r="P2" s="141" t="s">
        <v>5</v>
      </c>
      <c r="R2" s="141" t="s">
        <v>5</v>
      </c>
      <c r="T2" s="165" t="s">
        <v>105</v>
      </c>
    </row>
    <row r="3" spans="1:32" s="164" customFormat="1">
      <c r="A3" s="166" t="s">
        <v>106</v>
      </c>
      <c r="B3" s="164" t="s">
        <v>107</v>
      </c>
      <c r="D3" s="164" t="s">
        <v>108</v>
      </c>
      <c r="F3" s="164" t="s">
        <v>109</v>
      </c>
      <c r="H3" s="167" t="s">
        <v>110</v>
      </c>
      <c r="J3" s="167" t="s">
        <v>111</v>
      </c>
      <c r="K3" s="167"/>
      <c r="L3" s="168" t="s">
        <v>19</v>
      </c>
      <c r="M3" s="167"/>
      <c r="N3" s="164" t="s">
        <v>12</v>
      </c>
      <c r="P3" s="164" t="s">
        <v>15</v>
      </c>
      <c r="Q3" s="141"/>
      <c r="R3" s="164" t="s">
        <v>16</v>
      </c>
      <c r="S3" s="141"/>
      <c r="T3" s="165" t="s">
        <v>0</v>
      </c>
      <c r="V3" s="164" t="s">
        <v>13</v>
      </c>
    </row>
    <row r="4" spans="1:32">
      <c r="B4" s="169"/>
      <c r="C4" s="169"/>
      <c r="D4" s="170"/>
      <c r="L4" s="171"/>
      <c r="N4" s="172" t="s">
        <v>112</v>
      </c>
    </row>
    <row r="5" spans="1:32">
      <c r="A5" s="169" t="s">
        <v>113</v>
      </c>
      <c r="B5" s="173">
        <v>618.65</v>
      </c>
      <c r="C5" s="173"/>
      <c r="D5" s="170">
        <v>36.57</v>
      </c>
      <c r="F5" s="161">
        <v>2854.57</v>
      </c>
      <c r="G5" s="161"/>
      <c r="H5" s="174">
        <f>1177.03+57.79</f>
        <v>1234.82</v>
      </c>
      <c r="J5" s="175">
        <v>58.46</v>
      </c>
      <c r="K5" s="175"/>
      <c r="L5" s="108">
        <v>758.64</v>
      </c>
      <c r="M5" s="175"/>
      <c r="N5" s="175">
        <f>471+41.33+710</f>
        <v>1222.33</v>
      </c>
      <c r="O5" s="175"/>
      <c r="P5" s="163">
        <f>900+575</f>
        <v>1475</v>
      </c>
      <c r="Q5" s="163"/>
      <c r="R5" s="163">
        <f>950+80+550</f>
        <v>1580</v>
      </c>
      <c r="S5" s="163"/>
      <c r="T5" s="163">
        <v>10149.790000000001</v>
      </c>
    </row>
    <row r="6" spans="1:32">
      <c r="A6" s="169" t="s">
        <v>114</v>
      </c>
      <c r="B6" s="173">
        <v>0</v>
      </c>
      <c r="C6" s="173"/>
      <c r="D6" s="170">
        <v>600</v>
      </c>
      <c r="J6" s="175">
        <v>25</v>
      </c>
      <c r="K6" s="175"/>
      <c r="L6" s="108"/>
      <c r="M6" s="175"/>
      <c r="N6" s="175"/>
      <c r="O6" s="175"/>
      <c r="P6" s="163"/>
      <c r="Q6" s="163"/>
      <c r="R6" s="163"/>
      <c r="S6" s="163"/>
      <c r="U6" s="176"/>
    </row>
    <row r="7" spans="1:32">
      <c r="A7" s="169" t="s">
        <v>115</v>
      </c>
      <c r="B7" s="173">
        <v>3035</v>
      </c>
      <c r="C7" s="173"/>
      <c r="D7" s="170">
        <v>239.79</v>
      </c>
      <c r="F7" s="161">
        <v>1575</v>
      </c>
      <c r="G7" s="161"/>
      <c r="H7" s="174">
        <v>3032.76</v>
      </c>
      <c r="J7" s="175">
        <v>1235.8800000000001</v>
      </c>
      <c r="K7" s="175"/>
      <c r="L7" s="108">
        <v>4618.29</v>
      </c>
      <c r="M7" s="175"/>
      <c r="N7" s="175">
        <f>1102.5+87.8</f>
        <v>1190.3</v>
      </c>
      <c r="O7" s="175"/>
      <c r="P7" s="163">
        <v>1650</v>
      </c>
      <c r="Q7" s="163"/>
      <c r="R7" s="163">
        <v>1650</v>
      </c>
      <c r="S7" s="163"/>
      <c r="U7" s="176"/>
      <c r="V7" s="177"/>
    </row>
    <row r="8" spans="1:32">
      <c r="A8" s="169" t="s">
        <v>116</v>
      </c>
      <c r="B8" s="173">
        <v>0</v>
      </c>
      <c r="C8" s="173"/>
      <c r="D8" s="170">
        <v>268.33</v>
      </c>
      <c r="F8" s="161">
        <v>4187</v>
      </c>
      <c r="G8" s="161"/>
      <c r="H8" s="174">
        <f>'[1]Cremer''s 2017-18'!I27</f>
        <v>1474.5700000000002</v>
      </c>
      <c r="J8" s="175">
        <f>'[1]Cremer''s 2018-9'!H34</f>
        <v>2450.02</v>
      </c>
      <c r="K8" s="175"/>
      <c r="L8" s="108">
        <v>1480.19</v>
      </c>
      <c r="M8" s="175"/>
      <c r="N8" s="175">
        <v>318.85000000000002</v>
      </c>
      <c r="O8" s="175"/>
      <c r="P8" s="163">
        <v>5000</v>
      </c>
      <c r="Q8" s="163"/>
      <c r="R8" s="163">
        <v>5200</v>
      </c>
      <c r="S8" s="163"/>
      <c r="T8" s="163">
        <v>518.49</v>
      </c>
      <c r="U8" s="176"/>
      <c r="X8" s="35" t="s">
        <v>61</v>
      </c>
      <c r="Y8" s="36">
        <v>50</v>
      </c>
      <c r="AA8" s="36">
        <v>176.47</v>
      </c>
      <c r="AB8" s="68">
        <v>1000</v>
      </c>
      <c r="AC8" s="26" t="s">
        <v>62</v>
      </c>
      <c r="AD8" s="178">
        <v>1000</v>
      </c>
      <c r="AE8" s="26"/>
      <c r="AF8" s="178">
        <v>1000</v>
      </c>
    </row>
    <row r="9" spans="1:32">
      <c r="A9" s="169" t="s">
        <v>73</v>
      </c>
      <c r="B9" s="173"/>
      <c r="C9" s="173"/>
      <c r="D9" s="170"/>
      <c r="F9" s="161">
        <v>551.25</v>
      </c>
      <c r="G9" s="161"/>
      <c r="H9" s="174">
        <v>665.87000000000012</v>
      </c>
      <c r="J9" s="175">
        <v>349.16999999999996</v>
      </c>
      <c r="K9" s="175"/>
      <c r="L9" s="108">
        <v>1920</v>
      </c>
      <c r="M9" s="175"/>
      <c r="N9" s="175">
        <f>1404.99+500</f>
        <v>1904.99</v>
      </c>
      <c r="O9" s="175"/>
      <c r="P9" s="163">
        <v>2500</v>
      </c>
      <c r="Q9" s="163"/>
      <c r="R9" s="163">
        <v>2600</v>
      </c>
      <c r="S9" s="163"/>
      <c r="T9" s="163">
        <v>5516.25</v>
      </c>
      <c r="U9" s="176"/>
      <c r="X9" s="69" t="s">
        <v>63</v>
      </c>
      <c r="Y9" s="43">
        <v>709</v>
      </c>
      <c r="AA9" s="43"/>
      <c r="AB9" s="71">
        <v>1000</v>
      </c>
      <c r="AC9" s="26"/>
      <c r="AD9" s="178">
        <v>1000</v>
      </c>
      <c r="AE9" s="26"/>
      <c r="AF9" s="178">
        <v>1000</v>
      </c>
    </row>
    <row r="10" spans="1:32">
      <c r="A10" s="169" t="s">
        <v>117</v>
      </c>
      <c r="B10" s="173"/>
      <c r="C10" s="173"/>
      <c r="D10" s="170"/>
      <c r="F10" s="161">
        <v>49.98</v>
      </c>
      <c r="G10" s="161"/>
      <c r="L10" s="108"/>
      <c r="N10" s="100"/>
      <c r="O10" s="100"/>
      <c r="P10" s="163"/>
      <c r="Q10" s="163"/>
      <c r="R10" s="163"/>
      <c r="S10" s="163"/>
      <c r="U10" s="176"/>
      <c r="X10" s="69" t="s">
        <v>65</v>
      </c>
      <c r="Y10" s="43"/>
      <c r="AA10" s="43"/>
      <c r="AB10" s="48"/>
      <c r="AC10" s="26"/>
      <c r="AD10" s="31"/>
      <c r="AE10" s="26"/>
      <c r="AF10" s="31"/>
    </row>
    <row r="11" spans="1:32">
      <c r="A11" s="169" t="s">
        <v>63</v>
      </c>
      <c r="B11" s="173"/>
      <c r="C11" s="173"/>
      <c r="D11" s="170"/>
      <c r="F11" s="161"/>
      <c r="G11" s="161"/>
      <c r="H11" s="174">
        <v>90</v>
      </c>
      <c r="J11" s="175">
        <v>2732.65</v>
      </c>
      <c r="K11" s="175"/>
      <c r="L11" s="108">
        <v>709</v>
      </c>
      <c r="M11" s="175"/>
      <c r="N11" s="175"/>
      <c r="O11" s="175"/>
      <c r="P11" s="163">
        <v>1000</v>
      </c>
      <c r="Q11" s="163"/>
      <c r="R11" s="163">
        <v>1000</v>
      </c>
      <c r="S11" s="163"/>
      <c r="T11" s="163">
        <v>2886.5</v>
      </c>
      <c r="X11" s="69" t="s">
        <v>66</v>
      </c>
      <c r="Y11" s="43"/>
      <c r="AA11" s="43"/>
      <c r="AB11" s="71"/>
      <c r="AC11" s="26"/>
      <c r="AD11" s="178"/>
      <c r="AE11" s="26"/>
      <c r="AF11" s="178"/>
    </row>
    <row r="12" spans="1:32">
      <c r="A12" s="169" t="s">
        <v>118</v>
      </c>
      <c r="B12" s="173"/>
      <c r="C12" s="173"/>
      <c r="D12" s="170"/>
      <c r="F12" s="161"/>
      <c r="G12" s="161"/>
      <c r="H12" s="174">
        <v>2933</v>
      </c>
      <c r="L12" s="108">
        <v>50</v>
      </c>
      <c r="N12" s="175">
        <v>176.47</v>
      </c>
      <c r="O12" s="175"/>
      <c r="P12" s="163">
        <v>1000</v>
      </c>
      <c r="Q12" s="163"/>
      <c r="R12" s="163">
        <v>1000</v>
      </c>
      <c r="S12" s="163"/>
      <c r="T12" s="163">
        <v>5940.94</v>
      </c>
      <c r="X12" s="42" t="s">
        <v>46</v>
      </c>
      <c r="Y12" s="43">
        <f>551.25*2</f>
        <v>1102.5</v>
      </c>
      <c r="AA12" s="43">
        <v>1102.5</v>
      </c>
      <c r="AB12" s="71">
        <v>1200</v>
      </c>
      <c r="AC12" s="26"/>
      <c r="AD12" s="178">
        <v>1200</v>
      </c>
      <c r="AE12" s="26"/>
      <c r="AF12" s="178">
        <v>1200</v>
      </c>
    </row>
    <row r="13" spans="1:32">
      <c r="A13" s="169"/>
      <c r="B13" s="179">
        <f>SUM(B5:B12)</f>
        <v>3653.65</v>
      </c>
      <c r="C13" s="173"/>
      <c r="D13" s="179">
        <f>SUM(D5:D12)</f>
        <v>1144.69</v>
      </c>
      <c r="F13" s="179">
        <f>SUM(F5:F12)</f>
        <v>9217.7999999999993</v>
      </c>
      <c r="G13" s="161"/>
      <c r="H13" s="179">
        <f>SUM(H5:H12)</f>
        <v>9431.02</v>
      </c>
      <c r="J13" s="179">
        <f>SUM(J5:J12)</f>
        <v>6851.18</v>
      </c>
      <c r="K13" s="173"/>
      <c r="L13" s="179">
        <f>SUM(L5:L12)</f>
        <v>9536.1200000000008</v>
      </c>
      <c r="M13" s="173"/>
      <c r="N13" s="179">
        <f>SUM(N5:N12)</f>
        <v>4812.9400000000005</v>
      </c>
      <c r="O13" s="173"/>
      <c r="P13" s="180">
        <f>SUM(P5:P12)</f>
        <v>12625</v>
      </c>
      <c r="Q13" s="180"/>
      <c r="R13" s="180">
        <f>SUM(R5:R12)</f>
        <v>13030</v>
      </c>
      <c r="S13" s="180"/>
      <c r="T13" s="179">
        <f>SUM(T5:T12)</f>
        <v>25011.969999999998</v>
      </c>
      <c r="X13" s="42" t="s">
        <v>67</v>
      </c>
      <c r="Y13" s="43">
        <f>4618.29-Y12</f>
        <v>3515.79</v>
      </c>
      <c r="Z13" s="27">
        <f>SUM(Y12:Y13)</f>
        <v>4618.29</v>
      </c>
      <c r="AA13" s="43">
        <v>87.8</v>
      </c>
      <c r="AB13" s="71">
        <v>400</v>
      </c>
      <c r="AC13" s="26"/>
      <c r="AD13" s="178">
        <v>450</v>
      </c>
      <c r="AE13" s="26"/>
      <c r="AF13" s="178">
        <v>500</v>
      </c>
    </row>
    <row r="14" spans="1:32">
      <c r="A14" s="169"/>
      <c r="B14" s="173"/>
      <c r="C14" s="173"/>
      <c r="D14" s="170"/>
      <c r="F14" s="161"/>
      <c r="G14" s="161"/>
      <c r="H14" s="174"/>
      <c r="N14" s="163"/>
      <c r="O14" s="175"/>
      <c r="P14" s="163"/>
      <c r="Q14" s="163"/>
      <c r="R14" s="163"/>
      <c r="S14" s="163"/>
      <c r="X14" s="69" t="s">
        <v>68</v>
      </c>
      <c r="Y14" s="43"/>
      <c r="AA14" s="43"/>
      <c r="AB14" s="71"/>
      <c r="AC14" s="26"/>
      <c r="AD14" s="178"/>
      <c r="AE14" s="26"/>
      <c r="AF14" s="178"/>
    </row>
    <row r="15" spans="1:32">
      <c r="A15" s="169"/>
      <c r="B15" s="173"/>
      <c r="C15" s="173"/>
      <c r="D15" s="170"/>
      <c r="F15" s="161"/>
      <c r="G15" s="161"/>
      <c r="H15" s="174"/>
      <c r="N15" s="163"/>
      <c r="O15" s="181"/>
      <c r="P15" s="163"/>
      <c r="Q15" s="163"/>
      <c r="R15" s="163"/>
      <c r="S15" s="163"/>
      <c r="X15" s="42" t="s">
        <v>26</v>
      </c>
      <c r="Y15" s="43">
        <v>706.57</v>
      </c>
      <c r="AA15" s="43">
        <v>471</v>
      </c>
      <c r="AB15" s="71">
        <v>900</v>
      </c>
      <c r="AC15" s="26"/>
      <c r="AD15" s="178">
        <v>950</v>
      </c>
      <c r="AE15" s="26"/>
      <c r="AF15" s="178">
        <v>1000</v>
      </c>
    </row>
    <row r="16" spans="1:32">
      <c r="A16" s="169"/>
      <c r="B16" s="173"/>
      <c r="C16" s="173"/>
      <c r="D16" s="170"/>
      <c r="F16" s="161"/>
      <c r="G16" s="161"/>
      <c r="H16" s="174"/>
      <c r="N16" s="182"/>
      <c r="O16" s="181"/>
      <c r="P16" s="163"/>
      <c r="Q16" s="163"/>
      <c r="R16" s="163"/>
      <c r="S16" s="163"/>
      <c r="X16" s="42" t="s">
        <v>69</v>
      </c>
      <c r="Y16" s="43">
        <v>52.07</v>
      </c>
      <c r="Z16" s="27">
        <f>SUM(Y15:Y16)</f>
        <v>758.6400000000001</v>
      </c>
      <c r="AA16" s="43">
        <v>41.33</v>
      </c>
      <c r="AB16" s="71">
        <v>75</v>
      </c>
      <c r="AC16" s="26"/>
      <c r="AD16" s="178">
        <v>80</v>
      </c>
      <c r="AE16" s="26"/>
      <c r="AF16" s="178">
        <v>85</v>
      </c>
    </row>
    <row r="17" spans="1:32">
      <c r="A17" s="169" t="s">
        <v>100</v>
      </c>
      <c r="B17" s="173"/>
      <c r="C17" s="173"/>
      <c r="D17" s="170"/>
      <c r="F17" s="161">
        <v>1489.37</v>
      </c>
      <c r="G17" s="161"/>
      <c r="H17" s="174">
        <v>2884.04</v>
      </c>
      <c r="J17" s="175">
        <v>2124.65</v>
      </c>
      <c r="K17" s="175"/>
      <c r="L17" s="108">
        <v>1831.16</v>
      </c>
      <c r="M17" s="175"/>
      <c r="N17" s="175">
        <v>1673.66</v>
      </c>
      <c r="O17" s="175"/>
      <c r="P17" s="163">
        <v>2500</v>
      </c>
      <c r="Q17" s="163"/>
      <c r="R17" s="163">
        <v>2500</v>
      </c>
      <c r="S17" s="163"/>
      <c r="T17" s="163">
        <v>6598.01</v>
      </c>
      <c r="U17" s="176"/>
      <c r="X17" s="42" t="s">
        <v>70</v>
      </c>
      <c r="Y17" s="43"/>
      <c r="AA17" s="43">
        <v>710</v>
      </c>
      <c r="AB17" s="71">
        <v>500</v>
      </c>
      <c r="AC17" s="26"/>
      <c r="AD17" s="178">
        <v>550</v>
      </c>
      <c r="AE17" s="26"/>
      <c r="AF17" s="178">
        <v>560</v>
      </c>
    </row>
    <row r="18" spans="1:32">
      <c r="A18" s="169"/>
      <c r="B18" s="173"/>
      <c r="C18" s="173"/>
      <c r="D18" s="170"/>
      <c r="F18" s="161"/>
      <c r="G18" s="161"/>
      <c r="H18" s="174"/>
      <c r="J18" s="175"/>
      <c r="K18" s="175"/>
      <c r="L18" s="108"/>
      <c r="M18" s="175"/>
      <c r="N18" s="175"/>
      <c r="O18" s="175"/>
      <c r="P18" s="163"/>
      <c r="Q18" s="163"/>
      <c r="R18" s="163"/>
      <c r="S18" s="163"/>
      <c r="U18" s="176"/>
      <c r="X18" s="69" t="s">
        <v>71</v>
      </c>
      <c r="Y18" s="43"/>
      <c r="AA18" s="43"/>
      <c r="AB18" s="71"/>
      <c r="AC18" s="26"/>
      <c r="AD18" s="178"/>
      <c r="AE18" s="26"/>
      <c r="AF18" s="178"/>
    </row>
    <row r="19" spans="1:32">
      <c r="A19" s="166" t="s">
        <v>119</v>
      </c>
      <c r="B19" s="173"/>
      <c r="C19" s="173"/>
      <c r="D19" s="170"/>
      <c r="X19" s="42" t="s">
        <v>26</v>
      </c>
      <c r="Y19" s="43">
        <f>1877.83-397.64</f>
        <v>1480.19</v>
      </c>
      <c r="AA19" s="43">
        <v>318.85000000000002</v>
      </c>
      <c r="AB19" s="71">
        <v>5000</v>
      </c>
      <c r="AC19" s="26"/>
      <c r="AD19" s="178">
        <v>5200</v>
      </c>
      <c r="AE19" s="26"/>
      <c r="AF19" s="178">
        <v>5400</v>
      </c>
    </row>
    <row r="20" spans="1:32">
      <c r="A20" s="183" t="s">
        <v>73</v>
      </c>
      <c r="B20" s="173">
        <v>0</v>
      </c>
      <c r="C20" s="173"/>
      <c r="D20" s="170">
        <v>4510</v>
      </c>
      <c r="F20" s="161">
        <v>6713.75</v>
      </c>
      <c r="X20" s="69" t="s">
        <v>72</v>
      </c>
      <c r="Y20" s="43">
        <v>397.64</v>
      </c>
      <c r="AA20" s="43">
        <v>-200</v>
      </c>
      <c r="AB20" s="48"/>
      <c r="AC20" s="26"/>
      <c r="AD20" s="31"/>
      <c r="AE20" s="26"/>
      <c r="AF20" s="31"/>
    </row>
    <row r="21" spans="1:32">
      <c r="A21" s="169" t="s">
        <v>120</v>
      </c>
      <c r="B21" s="173"/>
      <c r="C21" s="173"/>
      <c r="D21" s="170"/>
      <c r="F21" s="161">
        <v>1981.51</v>
      </c>
      <c r="X21" s="69" t="s">
        <v>73</v>
      </c>
      <c r="Y21" s="43"/>
      <c r="AA21" s="43"/>
      <c r="AB21" s="71"/>
      <c r="AC21" s="26"/>
      <c r="AD21" s="178"/>
      <c r="AE21" s="26"/>
      <c r="AF21" s="178"/>
    </row>
    <row r="22" spans="1:32">
      <c r="A22" s="169" t="s">
        <v>121</v>
      </c>
      <c r="B22" s="173">
        <v>406.7</v>
      </c>
      <c r="C22" s="173"/>
      <c r="D22" s="170">
        <v>0</v>
      </c>
      <c r="X22" s="42" t="s">
        <v>26</v>
      </c>
      <c r="Y22" s="43">
        <v>1920</v>
      </c>
      <c r="AA22" s="43">
        <f>1404.99</f>
        <v>1404.99</v>
      </c>
      <c r="AB22" s="71">
        <v>2000</v>
      </c>
      <c r="AC22" s="26"/>
      <c r="AD22" s="178">
        <v>2100</v>
      </c>
      <c r="AE22" s="26"/>
      <c r="AF22" s="178">
        <v>2200</v>
      </c>
    </row>
    <row r="23" spans="1:32">
      <c r="A23" s="169" t="s">
        <v>122</v>
      </c>
      <c r="B23" s="173"/>
      <c r="C23" s="173"/>
      <c r="D23" s="170"/>
      <c r="F23" s="161"/>
      <c r="H23" s="184">
        <v>1411</v>
      </c>
      <c r="J23" s="175">
        <v>394.47</v>
      </c>
      <c r="K23" s="175"/>
      <c r="L23" s="163">
        <v>397.64</v>
      </c>
      <c r="M23" s="175"/>
      <c r="T23" s="163">
        <v>254.56</v>
      </c>
      <c r="AA23" s="50">
        <v>500</v>
      </c>
      <c r="AB23" s="76">
        <v>500</v>
      </c>
      <c r="AC23" s="26">
        <f>SUM(AB8:AB23)</f>
        <v>12575</v>
      </c>
      <c r="AD23" s="178">
        <v>500</v>
      </c>
      <c r="AE23" s="26"/>
      <c r="AF23" s="178">
        <v>550</v>
      </c>
    </row>
    <row r="24" spans="1:32">
      <c r="A24" s="169" t="s">
        <v>68</v>
      </c>
      <c r="B24" s="173"/>
      <c r="C24" s="173"/>
      <c r="D24" s="170"/>
      <c r="F24" s="161">
        <v>2514.6799999999998</v>
      </c>
      <c r="L24" s="163">
        <v>3942.6</v>
      </c>
    </row>
    <row r="25" spans="1:32">
      <c r="A25" s="169" t="s">
        <v>61</v>
      </c>
      <c r="B25" s="173"/>
      <c r="C25" s="173"/>
      <c r="D25" s="170"/>
      <c r="F25" s="161">
        <v>2059.06</v>
      </c>
      <c r="AB25" s="27">
        <f>SUM(AB8:AB23)</f>
        <v>12575</v>
      </c>
      <c r="AD25" s="27">
        <f>SUM(AD8:AD23)</f>
        <v>13030</v>
      </c>
    </row>
    <row r="26" spans="1:32">
      <c r="A26" s="169" t="s">
        <v>123</v>
      </c>
      <c r="B26" s="173">
        <v>88128.54</v>
      </c>
      <c r="C26" s="173"/>
      <c r="D26" s="170">
        <v>2085.88</v>
      </c>
    </row>
    <row r="27" spans="1:32">
      <c r="A27" s="169" t="s">
        <v>124</v>
      </c>
      <c r="B27" s="173">
        <v>23278.33</v>
      </c>
      <c r="C27" s="173"/>
      <c r="D27" s="170">
        <v>20528.79</v>
      </c>
    </row>
    <row r="28" spans="1:32">
      <c r="A28" s="169" t="s">
        <v>125</v>
      </c>
      <c r="B28" s="173">
        <v>16030.15</v>
      </c>
      <c r="C28" s="173"/>
      <c r="D28" s="170">
        <v>1250.98</v>
      </c>
    </row>
    <row r="29" spans="1:32">
      <c r="A29" s="185" t="s">
        <v>126</v>
      </c>
      <c r="B29" s="179">
        <f>SUM(B20:B28)</f>
        <v>127843.71999999999</v>
      </c>
      <c r="C29" s="173"/>
      <c r="D29" s="179">
        <f>SUM(D20:D28)</f>
        <v>28375.65</v>
      </c>
      <c r="F29" s="179">
        <f>SUM(F20:F28)</f>
        <v>13269</v>
      </c>
      <c r="H29" s="179">
        <f>SUM(H20:H28)</f>
        <v>1411</v>
      </c>
      <c r="J29" s="179">
        <f>SUM(J20:J28)</f>
        <v>394.47</v>
      </c>
      <c r="K29" s="173"/>
      <c r="L29" s="179">
        <f>SUM(L20:L28)</f>
        <v>4340.24</v>
      </c>
      <c r="M29" s="173"/>
      <c r="N29" s="179">
        <f>SUM(N20:N28)</f>
        <v>0</v>
      </c>
      <c r="P29" s="179">
        <f>SUM(P20:P28)</f>
        <v>0</v>
      </c>
      <c r="R29" s="179">
        <f>SUM(R20:R28)</f>
        <v>0</v>
      </c>
      <c r="T29" s="179">
        <f>SUM(T20:T28)</f>
        <v>254.56</v>
      </c>
    </row>
  </sheetData>
  <pageMargins left="0.31" right="0.23" top="0.75" bottom="0.75" header="0.3" footer="0.3"/>
  <pageSetup paperSize="9" scale="9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Rialtas</vt:lpstr>
      <vt:lpstr>LM Budget</vt:lpstr>
      <vt:lpstr>'Budget Rialtas'!Print_Area</vt:lpstr>
      <vt:lpstr>'LM Budget'!Print_Area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Dickson</dc:creator>
  <cp:lastModifiedBy>Claudia Dickson</cp:lastModifiedBy>
  <cp:lastPrinted>2020-12-22T14:27:31Z</cp:lastPrinted>
  <dcterms:created xsi:type="dcterms:W3CDTF">2020-11-25T14:44:41Z</dcterms:created>
  <dcterms:modified xsi:type="dcterms:W3CDTF">2021-01-20T11:36:58Z</dcterms:modified>
</cp:coreProperties>
</file>