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0" windowWidth="23040" windowHeight="12360"/>
  </bookViews>
  <sheets>
    <sheet name="Budget 2023-24" sheetId="1" r:id="rId1"/>
  </sheets>
  <definedNames>
    <definedName name="_xlnm.Print_Area" localSheetId="0">'Budget 2023-24'!$A$1:$Q$119</definedName>
    <definedName name="_xlnm.Print_Titles" localSheetId="0">'Budget 2023-24'!$1:$3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0" i="1"/>
  <c r="L92" l="1"/>
  <c r="L95"/>
  <c r="L96"/>
  <c r="L101"/>
  <c r="L100"/>
  <c r="E15"/>
  <c r="E24" l="1"/>
  <c r="E25"/>
  <c r="E30"/>
  <c r="E116" l="1"/>
  <c r="E38" l="1"/>
  <c r="F65"/>
  <c r="G65" s="1"/>
  <c r="H65" l="1"/>
  <c r="D63" l="1"/>
  <c r="F63" s="1"/>
  <c r="G63" s="1"/>
  <c r="D54"/>
  <c r="F54" s="1"/>
  <c r="G54" s="1"/>
  <c r="D69"/>
  <c r="F69" s="1"/>
  <c r="G69" s="1"/>
  <c r="D55"/>
  <c r="F55" s="1"/>
  <c r="H55" s="1"/>
  <c r="D67"/>
  <c r="F67" s="1"/>
  <c r="G67" s="1"/>
  <c r="D58"/>
  <c r="F58" s="1"/>
  <c r="H58" s="1"/>
  <c r="D45"/>
  <c r="F45" s="1"/>
  <c r="D39"/>
  <c r="E39" s="1"/>
  <c r="F39" s="1"/>
  <c r="D19"/>
  <c r="F30"/>
  <c r="G30" s="1"/>
  <c r="F91"/>
  <c r="G91" s="1"/>
  <c r="D84"/>
  <c r="D98"/>
  <c r="D97"/>
  <c r="M105"/>
  <c r="M109" s="1"/>
  <c r="I105"/>
  <c r="F42"/>
  <c r="G42" s="1"/>
  <c r="M123"/>
  <c r="M122"/>
  <c r="F119"/>
  <c r="F118"/>
  <c r="G118" s="1"/>
  <c r="B118"/>
  <c r="E117"/>
  <c r="F116"/>
  <c r="G116" s="1"/>
  <c r="Q105"/>
  <c r="O105"/>
  <c r="C105"/>
  <c r="C121" s="1"/>
  <c r="C122" s="1"/>
  <c r="F92"/>
  <c r="G92" s="1"/>
  <c r="F90"/>
  <c r="H90" s="1"/>
  <c r="F87"/>
  <c r="G87" s="1"/>
  <c r="L83"/>
  <c r="F83"/>
  <c r="G83" s="1"/>
  <c r="F82"/>
  <c r="G82" s="1"/>
  <c r="L81"/>
  <c r="F81"/>
  <c r="G81" s="1"/>
  <c r="E80"/>
  <c r="F80" s="1"/>
  <c r="E79"/>
  <c r="F79" s="1"/>
  <c r="E78"/>
  <c r="F78" s="1"/>
  <c r="G78" s="1"/>
  <c r="E77"/>
  <c r="F77" s="1"/>
  <c r="E76"/>
  <c r="F76" s="1"/>
  <c r="H76" s="1"/>
  <c r="E75"/>
  <c r="F75" s="1"/>
  <c r="G75" s="1"/>
  <c r="E74"/>
  <c r="F74" s="1"/>
  <c r="L71"/>
  <c r="F71"/>
  <c r="G71" s="1"/>
  <c r="J70"/>
  <c r="F70"/>
  <c r="G70" s="1"/>
  <c r="F61"/>
  <c r="H61" s="1"/>
  <c r="E60"/>
  <c r="F60" s="1"/>
  <c r="F53"/>
  <c r="G53" s="1"/>
  <c r="F41"/>
  <c r="G41" s="1"/>
  <c r="F38"/>
  <c r="H38" s="1"/>
  <c r="F35"/>
  <c r="G35" s="1"/>
  <c r="F34"/>
  <c r="G34" s="1"/>
  <c r="F33"/>
  <c r="G33" s="1"/>
  <c r="F31"/>
  <c r="G31" s="1"/>
  <c r="E29"/>
  <c r="F29" s="1"/>
  <c r="G29" s="1"/>
  <c r="E28"/>
  <c r="F28" s="1"/>
  <c r="F26"/>
  <c r="G26" s="1"/>
  <c r="F25"/>
  <c r="F24"/>
  <c r="H24" s="1"/>
  <c r="E23"/>
  <c r="F23" s="1"/>
  <c r="F22"/>
  <c r="G22" s="1"/>
  <c r="E21"/>
  <c r="F21" s="1"/>
  <c r="G21" s="1"/>
  <c r="E20"/>
  <c r="F20" s="1"/>
  <c r="E18"/>
  <c r="F18" s="1"/>
  <c r="F16"/>
  <c r="G16" s="1"/>
  <c r="F14"/>
  <c r="G14" s="1"/>
  <c r="F13"/>
  <c r="G13" s="1"/>
  <c r="F12"/>
  <c r="G12" s="1"/>
  <c r="F11"/>
  <c r="G11" s="1"/>
  <c r="F9"/>
  <c r="G9" s="1"/>
  <c r="F8"/>
  <c r="G8" s="1"/>
  <c r="F7"/>
  <c r="G7" s="1"/>
  <c r="E6"/>
  <c r="F5"/>
  <c r="H5" s="1"/>
  <c r="F4"/>
  <c r="M107" l="1"/>
  <c r="I106"/>
  <c r="F19"/>
  <c r="H19" s="1"/>
  <c r="D107"/>
  <c r="F6"/>
  <c r="G4"/>
  <c r="G45"/>
  <c r="H45"/>
  <c r="F117"/>
  <c r="G117" s="1"/>
  <c r="L115"/>
  <c r="I109"/>
  <c r="M110" s="1"/>
  <c r="I107"/>
  <c r="O107"/>
  <c r="E84"/>
  <c r="E105" s="1"/>
  <c r="H91"/>
  <c r="M124"/>
  <c r="H16"/>
  <c r="H31"/>
  <c r="G58"/>
  <c r="H82"/>
  <c r="H11"/>
  <c r="H8"/>
  <c r="H69"/>
  <c r="H41"/>
  <c r="H53"/>
  <c r="H70"/>
  <c r="G90"/>
  <c r="G38"/>
  <c r="G6"/>
  <c r="H6"/>
  <c r="H42"/>
  <c r="B105"/>
  <c r="B121" s="1"/>
  <c r="H54"/>
  <c r="G76"/>
  <c r="L105"/>
  <c r="Q107"/>
  <c r="H79"/>
  <c r="G79"/>
  <c r="G24"/>
  <c r="H34"/>
  <c r="G55"/>
  <c r="G5"/>
  <c r="H13"/>
  <c r="H22"/>
  <c r="G61"/>
  <c r="D105"/>
  <c r="H116"/>
  <c r="H25"/>
  <c r="G25"/>
  <c r="G18"/>
  <c r="H18"/>
  <c r="G23"/>
  <c r="H23"/>
  <c r="G74"/>
  <c r="H74"/>
  <c r="H119"/>
  <c r="G119"/>
  <c r="G39"/>
  <c r="H39"/>
  <c r="G80"/>
  <c r="H80"/>
  <c r="G20"/>
  <c r="H20"/>
  <c r="G60"/>
  <c r="H60"/>
  <c r="G77"/>
  <c r="H77"/>
  <c r="H28"/>
  <c r="G28"/>
  <c r="H9"/>
  <c r="H14"/>
  <c r="H26"/>
  <c r="H30"/>
  <c r="H35"/>
  <c r="Q109"/>
  <c r="H118"/>
  <c r="O109"/>
  <c r="H4"/>
  <c r="H29"/>
  <c r="H63"/>
  <c r="H87"/>
  <c r="H7"/>
  <c r="H12"/>
  <c r="H21"/>
  <c r="H33"/>
  <c r="H75"/>
  <c r="H78"/>
  <c r="G19" l="1"/>
  <c r="H117"/>
  <c r="E107"/>
  <c r="F84"/>
  <c r="F107" s="1"/>
  <c r="I111"/>
  <c r="I112" s="1"/>
  <c r="I110"/>
  <c r="Q111"/>
  <c r="Q112" s="1"/>
  <c r="Q110"/>
  <c r="M111"/>
  <c r="M112" s="1"/>
  <c r="O111"/>
  <c r="O112" s="1"/>
  <c r="O110"/>
  <c r="H84" l="1"/>
  <c r="G84"/>
  <c r="F105"/>
  <c r="G105" l="1"/>
  <c r="G107"/>
</calcChain>
</file>

<file path=xl/comments1.xml><?xml version="1.0" encoding="utf-8"?>
<comments xmlns="http://schemas.openxmlformats.org/spreadsheetml/2006/main">
  <authors>
    <author>Claudia</author>
  </authors>
  <commentList>
    <comment ref="D12" authorId="0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reclaimed from Persimmon - Covenant &amp; Mack legal fees
</t>
        </r>
      </text>
    </comment>
    <comment ref="L37" authorId="0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moved to Asset EMR</t>
        </r>
      </text>
    </comment>
    <comment ref="L72" authorId="0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moved to Asset EMR</t>
        </r>
      </text>
    </comment>
  </commentList>
</comments>
</file>

<file path=xl/sharedStrings.xml><?xml version="1.0" encoding="utf-8"?>
<sst xmlns="http://schemas.openxmlformats.org/spreadsheetml/2006/main" count="158" uniqueCount="129">
  <si>
    <t>Reserves</t>
  </si>
  <si>
    <t>Spent/</t>
  </si>
  <si>
    <t>Projected</t>
  </si>
  <si>
    <t>Difference</t>
  </si>
  <si>
    <t>% over/under</t>
  </si>
  <si>
    <t>Budget</t>
  </si>
  <si>
    <t>Figs in red are income</t>
  </si>
  <si>
    <t>Actuals</t>
  </si>
  <si>
    <t>held at end</t>
  </si>
  <si>
    <t>received</t>
  </si>
  <si>
    <t>Total spend</t>
  </si>
  <si>
    <t>(-/+)</t>
  </si>
  <si>
    <t>2021-22</t>
  </si>
  <si>
    <t>Comments</t>
  </si>
  <si>
    <t>expected at end</t>
  </si>
  <si>
    <t>2022-23</t>
  </si>
  <si>
    <t>2023-24</t>
  </si>
  <si>
    <t>2024-25</t>
  </si>
  <si>
    <t>Figs in black are expenditure</t>
  </si>
  <si>
    <t>Rialtas</t>
  </si>
  <si>
    <t>Chairman's Allowance</t>
  </si>
  <si>
    <t>Members Expenses</t>
  </si>
  <si>
    <t>Handyman</t>
  </si>
  <si>
    <t xml:space="preserve">Repairs and Maintenance </t>
  </si>
  <si>
    <t>Refuse Collection</t>
  </si>
  <si>
    <t>New grit bin/waste bins</t>
  </si>
  <si>
    <t>Fees/Insurances/Subscriptions</t>
  </si>
  <si>
    <t>Insurance</t>
  </si>
  <si>
    <t>Professional Fees</t>
  </si>
  <si>
    <t>Subscriptions &amp; Memberships</t>
  </si>
  <si>
    <t>Planning fees</t>
  </si>
  <si>
    <t>Audit fees</t>
  </si>
  <si>
    <t>Office administration</t>
  </si>
  <si>
    <t>Mileage</t>
  </si>
  <si>
    <t>Office equipment</t>
  </si>
  <si>
    <t>Office equipment maintenance</t>
  </si>
  <si>
    <t>Stationery</t>
  </si>
  <si>
    <t>postage</t>
  </si>
  <si>
    <t>printing</t>
  </si>
  <si>
    <t>telephone</t>
  </si>
  <si>
    <t>mobile</t>
  </si>
  <si>
    <t>IT (inc website)</t>
  </si>
  <si>
    <t>General expenses</t>
  </si>
  <si>
    <t>rent</t>
  </si>
  <si>
    <t>Room hire</t>
  </si>
  <si>
    <t>Parish Clerks</t>
  </si>
  <si>
    <t>Training</t>
  </si>
  <si>
    <t>Donations - S137</t>
  </si>
  <si>
    <t>Grants</t>
  </si>
  <si>
    <t>Youth Fund</t>
  </si>
  <si>
    <t>Street Lighting</t>
  </si>
  <si>
    <t>Street Lighting reserve</t>
  </si>
  <si>
    <t>Electricity</t>
  </si>
  <si>
    <t>Covid-19</t>
  </si>
  <si>
    <t>Projects</t>
  </si>
  <si>
    <t xml:space="preserve"> </t>
  </si>
  <si>
    <t>Land Management</t>
  </si>
  <si>
    <t>Provision</t>
  </si>
  <si>
    <t>tree management</t>
  </si>
  <si>
    <t>Land Management reserve</t>
  </si>
  <si>
    <t>Play equipment</t>
  </si>
  <si>
    <t>Playground reserve</t>
  </si>
  <si>
    <t>Countryside Park</t>
  </si>
  <si>
    <t>provision</t>
  </si>
  <si>
    <t>Cemetery</t>
  </si>
  <si>
    <t>water</t>
  </si>
  <si>
    <t>Cremer's</t>
  </si>
  <si>
    <t>projects</t>
  </si>
  <si>
    <t>Cremers reserve</t>
  </si>
  <si>
    <t>Church Fen</t>
  </si>
  <si>
    <t>Boardwalk repair now in Asset accrual</t>
  </si>
  <si>
    <t>Cremers reserve - Cable's donation</t>
  </si>
  <si>
    <t>Church Fen reserve</t>
  </si>
  <si>
    <t>Grass cutting</t>
  </si>
  <si>
    <t>Delegated Function</t>
  </si>
  <si>
    <t>Memorial Hall</t>
  </si>
  <si>
    <t>Meadow View</t>
  </si>
  <si>
    <t>Cemetery reserve</t>
  </si>
  <si>
    <t>General Fund Reserves</t>
  </si>
  <si>
    <t>Interest savings</t>
  </si>
  <si>
    <t>Del Functions grass</t>
  </si>
  <si>
    <t>Forestry grant</t>
  </si>
  <si>
    <t>S106 reserve</t>
  </si>
  <si>
    <t>S106 from BDC</t>
  </si>
  <si>
    <t>S106 expenditure</t>
  </si>
  <si>
    <t>CIL</t>
  </si>
  <si>
    <t>BDC Ward Grant for Zebra Crossing</t>
  </si>
  <si>
    <t>Accrual for traffic management</t>
  </si>
  <si>
    <t>Asset maintenance and replacement - see asset register</t>
  </si>
  <si>
    <t>Includes repair of assets during the year</t>
  </si>
  <si>
    <t>Percentage (%) increase from previous year</t>
  </si>
  <si>
    <t>2021-22 Band D £75.97</t>
  </si>
  <si>
    <t>2022-23 1696 properties</t>
  </si>
  <si>
    <t>2020-21 Band D £69.80</t>
  </si>
  <si>
    <t>% increase</t>
  </si>
  <si>
    <t>2019-20 Band D £59.79</t>
  </si>
  <si>
    <t>increase amount</t>
  </si>
  <si>
    <t>increase per month</t>
  </si>
  <si>
    <t>Allotments</t>
  </si>
  <si>
    <t>reserve</t>
  </si>
  <si>
    <t>Repairs &amp; Maintenance</t>
  </si>
  <si>
    <t>land rent</t>
  </si>
  <si>
    <t>Allotment rental</t>
  </si>
  <si>
    <t>Expenditure</t>
  </si>
  <si>
    <t>Income</t>
  </si>
  <si>
    <t>Precept</t>
  </si>
  <si>
    <t xml:space="preserve">Recreation &amp; Wellbeing </t>
  </si>
  <si>
    <r>
      <t xml:space="preserve">Environment Cttee - </t>
    </r>
    <r>
      <rPr>
        <sz val="11"/>
        <color rgb="FF00B0F0"/>
        <rFont val="Calibri"/>
        <family val="2"/>
        <scheme val="minor"/>
      </rPr>
      <t>new for 2023</t>
    </r>
  </si>
  <si>
    <t>CIL reserve - Berryfields</t>
  </si>
  <si>
    <t>CIL reserve</t>
  </si>
  <si>
    <t>NWT grant for Cremer's</t>
  </si>
  <si>
    <t>Bank compensation</t>
  </si>
  <si>
    <t>Wayleave</t>
  </si>
  <si>
    <t>Bank charges</t>
  </si>
  <si>
    <t>to 8-11-22</t>
  </si>
  <si>
    <t>to 31-3-23</t>
  </si>
  <si>
    <t>2025-26</t>
  </si>
  <si>
    <t>CIL - Berryfields</t>
  </si>
  <si>
    <t>Persimmon</t>
  </si>
  <si>
    <t>Insurance claim Cremer's break-in</t>
  </si>
  <si>
    <t>water (drainage fee)</t>
  </si>
  <si>
    <t>2022-23 Band D £81.22</t>
  </si>
  <si>
    <t>includes LFW</t>
  </si>
  <si>
    <r>
      <t xml:space="preserve">Election provision - </t>
    </r>
    <r>
      <rPr>
        <sz val="11"/>
        <color rgb="FF00B0F0"/>
        <rFont val="Calibri"/>
        <family val="2"/>
        <scheme val="minor"/>
      </rPr>
      <t>new for 2023</t>
    </r>
  </si>
  <si>
    <t>2023-24 1694 properties</t>
  </si>
  <si>
    <t>new accrual</t>
  </si>
  <si>
    <t>Sports Hub start-up fund - repayable by BCL</t>
  </si>
  <si>
    <t>will be moved to General Expenses</t>
  </si>
  <si>
    <t>reclaimed from Persimmon</t>
  </si>
</sst>
</file>

<file path=xl/styles.xml><?xml version="1.0" encoding="utf-8"?>
<styleSheet xmlns="http://schemas.openxmlformats.org/spreadsheetml/2006/main">
  <numFmts count="11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;[Red]#,##0.00"/>
    <numFmt numFmtId="165" formatCode="0.0%"/>
    <numFmt numFmtId="166" formatCode="&quot;£&quot;#,##0.00;[Red]&quot;£&quot;#,##0.00"/>
    <numFmt numFmtId="167" formatCode="[$£-809]#,##0.00"/>
    <numFmt numFmtId="168" formatCode="&quot;£&quot;#,##0.00"/>
    <numFmt numFmtId="169" formatCode="_-* #,##0.00_-;\-* #,##0.00_-;_-* \-??_-;_-@_-"/>
    <numFmt numFmtId="170" formatCode="_(* #,##0.00_);_(* \(#,##0.00\);_(* &quot;-&quot;??_);_(@_)"/>
    <numFmt numFmtId="171" formatCode="_(&quot;$&quot;* #,##0.00_);_(&quot;$&quot;* \(#,##0.00\);_(&quot;$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171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6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indent="1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7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17" fontId="5" fillId="0" borderId="1" xfId="0" applyNumberFormat="1" applyFont="1" applyBorder="1" applyAlignment="1">
      <alignment horizontal="right"/>
    </xf>
    <xf numFmtId="0" fontId="6" fillId="3" borderId="1" xfId="0" applyFont="1" applyFill="1" applyBorder="1"/>
    <xf numFmtId="164" fontId="0" fillId="0" borderId="0" xfId="0" applyNumberFormat="1"/>
    <xf numFmtId="9" fontId="0" fillId="0" borderId="0" xfId="0" applyNumberFormat="1"/>
    <xf numFmtId="164" fontId="0" fillId="2" borderId="0" xfId="0" applyNumberFormat="1" applyFill="1"/>
    <xf numFmtId="0" fontId="9" fillId="0" borderId="0" xfId="0" applyFont="1"/>
    <xf numFmtId="164" fontId="0" fillId="0" borderId="0" xfId="0" applyNumberFormat="1" applyAlignment="1">
      <alignment horizontal="left" indent="1"/>
    </xf>
    <xf numFmtId="164" fontId="0" fillId="3" borderId="0" xfId="0" applyNumberFormat="1" applyFill="1"/>
    <xf numFmtId="0" fontId="0" fillId="0" borderId="0" xfId="0" applyAlignment="1">
      <alignment horizontal="left" indent="1"/>
    </xf>
    <xf numFmtId="0" fontId="0" fillId="0" borderId="2" xfId="0" applyBorder="1"/>
    <xf numFmtId="164" fontId="0" fillId="0" borderId="3" xfId="0" applyNumberFormat="1" applyBorder="1"/>
    <xf numFmtId="9" fontId="0" fillId="0" borderId="3" xfId="0" applyNumberFormat="1" applyBorder="1"/>
    <xf numFmtId="164" fontId="0" fillId="2" borderId="4" xfId="0" applyNumberFormat="1" applyFill="1" applyBorder="1"/>
    <xf numFmtId="164" fontId="0" fillId="3" borderId="5" xfId="0" applyNumberFormat="1" applyFill="1" applyBorder="1"/>
    <xf numFmtId="0" fontId="0" fillId="0" borderId="6" xfId="0" applyBorder="1" applyAlignment="1">
      <alignment horizontal="left" indent="1"/>
    </xf>
    <xf numFmtId="164" fontId="0" fillId="2" borderId="7" xfId="0" applyNumberFormat="1" applyFill="1" applyBorder="1"/>
    <xf numFmtId="164" fontId="0" fillId="3" borderId="8" xfId="0" applyNumberFormat="1" applyFill="1" applyBorder="1"/>
    <xf numFmtId="0" fontId="0" fillId="0" borderId="9" xfId="0" applyBorder="1" applyAlignment="1">
      <alignment horizontal="left" indent="1"/>
    </xf>
    <xf numFmtId="164" fontId="0" fillId="0" borderId="1" xfId="0" applyNumberFormat="1" applyBorder="1"/>
    <xf numFmtId="9" fontId="0" fillId="0" borderId="1" xfId="0" applyNumberFormat="1" applyBorder="1"/>
    <xf numFmtId="164" fontId="0" fillId="2" borderId="10" xfId="0" applyNumberFormat="1" applyFill="1" applyBorder="1"/>
    <xf numFmtId="16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0" fontId="11" fillId="0" borderId="0" xfId="0" applyFont="1"/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12" fillId="0" borderId="0" xfId="0" applyFont="1"/>
    <xf numFmtId="0" fontId="0" fillId="0" borderId="6" xfId="0" applyBorder="1"/>
    <xf numFmtId="164" fontId="0" fillId="3" borderId="8" xfId="0" applyNumberFormat="1" applyFill="1" applyBorder="1" applyAlignment="1">
      <alignment vertical="center"/>
    </xf>
    <xf numFmtId="164" fontId="0" fillId="0" borderId="0" xfId="0" applyNumberFormat="1" applyAlignment="1">
      <alignment horizontal="left"/>
    </xf>
    <xf numFmtId="43" fontId="2" fillId="0" borderId="0" xfId="0" applyNumberFormat="1" applyFont="1"/>
    <xf numFmtId="164" fontId="2" fillId="0" borderId="0" xfId="0" applyNumberFormat="1" applyFont="1"/>
    <xf numFmtId="164" fontId="2" fillId="2" borderId="0" xfId="0" applyNumberFormat="1" applyFont="1" applyFill="1"/>
    <xf numFmtId="0" fontId="2" fillId="0" borderId="0" xfId="0" applyFont="1"/>
    <xf numFmtId="164" fontId="2" fillId="0" borderId="0" xfId="0" applyNumberFormat="1" applyFont="1" applyAlignment="1">
      <alignment horizontal="left" indent="1"/>
    </xf>
    <xf numFmtId="164" fontId="2" fillId="3" borderId="0" xfId="0" applyNumberFormat="1" applyFont="1" applyFill="1"/>
    <xf numFmtId="2" fontId="0" fillId="2" borderId="4" xfId="0" applyNumberFormat="1" applyFill="1" applyBorder="1"/>
    <xf numFmtId="2" fontId="0" fillId="3" borderId="0" xfId="0" applyNumberFormat="1" applyFill="1"/>
    <xf numFmtId="2" fontId="0" fillId="0" borderId="0" xfId="0" applyNumberFormat="1" applyAlignment="1">
      <alignment horizontal="left" indent="1"/>
    </xf>
    <xf numFmtId="2" fontId="0" fillId="0" borderId="0" xfId="0" applyNumberFormat="1"/>
    <xf numFmtId="43" fontId="2" fillId="0" borderId="6" xfId="0" applyNumberFormat="1" applyFont="1" applyBorder="1"/>
    <xf numFmtId="2" fontId="0" fillId="2" borderId="7" xfId="0" applyNumberFormat="1" applyFill="1" applyBorder="1"/>
    <xf numFmtId="43" fontId="13" fillId="0" borderId="9" xfId="0" applyNumberFormat="1" applyFont="1" applyBorder="1"/>
    <xf numFmtId="164" fontId="13" fillId="0" borderId="1" xfId="0" applyNumberFormat="1" applyFont="1" applyBorder="1"/>
    <xf numFmtId="9" fontId="13" fillId="0" borderId="1" xfId="0" applyNumberFormat="1" applyFont="1" applyBorder="1"/>
    <xf numFmtId="2" fontId="13" fillId="2" borderId="10" xfId="0" applyNumberFormat="1" applyFont="1" applyFill="1" applyBorder="1"/>
    <xf numFmtId="0" fontId="13" fillId="0" borderId="0" xfId="0" applyFont="1"/>
    <xf numFmtId="2" fontId="13" fillId="3" borderId="0" xfId="0" applyNumberFormat="1" applyFont="1" applyFill="1"/>
    <xf numFmtId="2" fontId="13" fillId="0" borderId="0" xfId="0" applyNumberFormat="1" applyFont="1" applyAlignment="1">
      <alignment horizontal="left" indent="1"/>
    </xf>
    <xf numFmtId="2" fontId="13" fillId="0" borderId="0" xfId="0" applyNumberFormat="1" applyFont="1"/>
    <xf numFmtId="164" fontId="13" fillId="0" borderId="0" xfId="0" applyNumberFormat="1" applyFont="1"/>
    <xf numFmtId="9" fontId="13" fillId="0" borderId="0" xfId="0" applyNumberFormat="1" applyFont="1"/>
    <xf numFmtId="2" fontId="13" fillId="2" borderId="0" xfId="0" applyNumberFormat="1" applyFont="1" applyFill="1"/>
    <xf numFmtId="4" fontId="0" fillId="2" borderId="0" xfId="0" applyNumberFormat="1" applyFill="1"/>
    <xf numFmtId="4" fontId="0" fillId="4" borderId="0" xfId="0" applyNumberFormat="1" applyFill="1"/>
    <xf numFmtId="4" fontId="0" fillId="0" borderId="0" xfId="0" applyNumberFormat="1"/>
    <xf numFmtId="4" fontId="0" fillId="3" borderId="0" xfId="0" applyNumberFormat="1" applyFill="1"/>
    <xf numFmtId="4" fontId="0" fillId="0" borderId="0" xfId="0" applyNumberFormat="1" applyAlignment="1">
      <alignment horizontal="left" indent="1"/>
    </xf>
    <xf numFmtId="43" fontId="14" fillId="0" borderId="1" xfId="0" applyNumberFormat="1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16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left" indent="1"/>
    </xf>
    <xf numFmtId="164" fontId="2" fillId="3" borderId="1" xfId="0" applyNumberFormat="1" applyFont="1" applyFill="1" applyBorder="1"/>
    <xf numFmtId="0" fontId="0" fillId="0" borderId="1" xfId="0" applyBorder="1" applyAlignment="1">
      <alignment horizontal="left" indent="1"/>
    </xf>
    <xf numFmtId="43" fontId="15" fillId="0" borderId="0" xfId="0" applyNumberFormat="1" applyFont="1"/>
    <xf numFmtId="2" fontId="0" fillId="0" borderId="0" xfId="0" applyNumberForma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left" indent="1"/>
    </xf>
    <xf numFmtId="0" fontId="0" fillId="0" borderId="0" xfId="0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1"/>
    </xf>
    <xf numFmtId="2" fontId="3" fillId="0" borderId="0" xfId="0" applyNumberFormat="1" applyFont="1" applyAlignment="1">
      <alignment horizontal="right"/>
    </xf>
    <xf numFmtId="0" fontId="16" fillId="0" borderId="0" xfId="0" applyFont="1"/>
    <xf numFmtId="164" fontId="17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164" fontId="17" fillId="2" borderId="12" xfId="0" applyNumberFormat="1" applyFont="1" applyFill="1" applyBorder="1" applyAlignment="1">
      <alignment horizontal="right"/>
    </xf>
    <xf numFmtId="10" fontId="0" fillId="0" borderId="0" xfId="0" applyNumberFormat="1" applyAlignment="1">
      <alignment horizontal="left" indent="1"/>
    </xf>
    <xf numFmtId="0" fontId="19" fillId="0" borderId="0" xfId="0" applyFont="1" applyAlignment="1">
      <alignment horizontal="right"/>
    </xf>
    <xf numFmtId="164" fontId="17" fillId="4" borderId="12" xfId="0" applyNumberFormat="1" applyFont="1" applyFill="1" applyBorder="1" applyAlignment="1">
      <alignment horizontal="right"/>
    </xf>
    <xf numFmtId="0" fontId="20" fillId="0" borderId="0" xfId="0" applyFont="1"/>
    <xf numFmtId="10" fontId="0" fillId="0" borderId="0" xfId="0" applyNumberFormat="1"/>
    <xf numFmtId="0" fontId="3" fillId="0" borderId="0" xfId="0" applyFont="1"/>
    <xf numFmtId="10" fontId="3" fillId="2" borderId="0" xfId="2" applyNumberFormat="1" applyFont="1" applyFill="1"/>
    <xf numFmtId="165" fontId="3" fillId="0" borderId="0" xfId="2" applyNumberFormat="1" applyFont="1" applyAlignment="1">
      <alignment horizontal="left" indent="1"/>
    </xf>
    <xf numFmtId="10" fontId="3" fillId="5" borderId="0" xfId="0" applyNumberFormat="1" applyFont="1" applyFill="1"/>
    <xf numFmtId="10" fontId="3" fillId="0" borderId="0" xfId="0" applyNumberFormat="1" applyFont="1"/>
    <xf numFmtId="2" fontId="0" fillId="2" borderId="0" xfId="0" applyNumberFormat="1" applyFill="1"/>
    <xf numFmtId="8" fontId="3" fillId="0" borderId="0" xfId="0" applyNumberFormat="1" applyFont="1" applyAlignment="1">
      <alignment horizontal="left"/>
    </xf>
    <xf numFmtId="8" fontId="3" fillId="0" borderId="0" xfId="0" applyNumberFormat="1" applyFont="1" applyAlignment="1">
      <alignment horizontal="right"/>
    </xf>
    <xf numFmtId="165" fontId="1" fillId="2" borderId="0" xfId="2" applyNumberFormat="1" applyFill="1"/>
    <xf numFmtId="165" fontId="1" fillId="0" borderId="0" xfId="2" applyNumberFormat="1"/>
    <xf numFmtId="9" fontId="1" fillId="0" borderId="0" xfId="2"/>
    <xf numFmtId="9" fontId="1" fillId="0" borderId="0" xfId="2" applyFill="1"/>
    <xf numFmtId="166" fontId="0" fillId="2" borderId="0" xfId="0" applyNumberFormat="1" applyFill="1"/>
    <xf numFmtId="167" fontId="0" fillId="0" borderId="0" xfId="0" applyNumberFormat="1"/>
    <xf numFmtId="167" fontId="0" fillId="0" borderId="0" xfId="0" applyNumberFormat="1" applyAlignment="1">
      <alignment horizontal="left" indent="1"/>
    </xf>
    <xf numFmtId="0" fontId="0" fillId="0" borderId="0" xfId="0" applyAlignment="1">
      <alignment horizontal="right" indent="1"/>
    </xf>
    <xf numFmtId="168" fontId="0" fillId="2" borderId="0" xfId="0" applyNumberFormat="1" applyFill="1"/>
    <xf numFmtId="0" fontId="0" fillId="2" borderId="0" xfId="0" applyFill="1"/>
    <xf numFmtId="9" fontId="2" fillId="0" borderId="0" xfId="0" applyNumberFormat="1" applyFont="1"/>
    <xf numFmtId="43" fontId="0" fillId="0" borderId="0" xfId="0" applyNumberFormat="1"/>
    <xf numFmtId="170" fontId="0" fillId="0" borderId="0" xfId="0" applyNumberFormat="1"/>
    <xf numFmtId="170" fontId="10" fillId="0" borderId="0" xfId="0" applyNumberFormat="1" applyFont="1"/>
    <xf numFmtId="170" fontId="0" fillId="0" borderId="0" xfId="0" applyNumberFormat="1" applyAlignment="1">
      <alignment horizontal="left" indent="1"/>
    </xf>
    <xf numFmtId="170" fontId="2" fillId="0" borderId="0" xfId="0" applyNumberFormat="1" applyFont="1"/>
    <xf numFmtId="170" fontId="13" fillId="0" borderId="0" xfId="0" applyNumberFormat="1" applyFont="1"/>
    <xf numFmtId="170" fontId="2" fillId="0" borderId="1" xfId="0" applyNumberFormat="1" applyFont="1" applyBorder="1"/>
    <xf numFmtId="170" fontId="0" fillId="0" borderId="0" xfId="0" applyNumberFormat="1" applyAlignment="1">
      <alignment horizontal="right"/>
    </xf>
    <xf numFmtId="170" fontId="3" fillId="0" borderId="0" xfId="0" applyNumberFormat="1" applyFont="1" applyAlignment="1">
      <alignment horizontal="right"/>
    </xf>
    <xf numFmtId="164" fontId="0" fillId="2" borderId="0" xfId="0" applyNumberFormat="1" applyFill="1" applyAlignment="1">
      <alignment vertical="center"/>
    </xf>
    <xf numFmtId="43" fontId="13" fillId="0" borderId="0" xfId="0" applyNumberFormat="1" applyFont="1"/>
    <xf numFmtId="164" fontId="10" fillId="0" borderId="0" xfId="0" applyNumberFormat="1" applyFont="1"/>
    <xf numFmtId="164" fontId="0" fillId="2" borderId="1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164" fontId="0" fillId="4" borderId="0" xfId="0" applyNumberFormat="1" applyFill="1"/>
    <xf numFmtId="164" fontId="0" fillId="4" borderId="8" xfId="0" applyNumberFormat="1" applyFill="1" applyBorder="1"/>
    <xf numFmtId="164" fontId="0" fillId="4" borderId="11" xfId="0" applyNumberFormat="1" applyFill="1" applyBorder="1"/>
    <xf numFmtId="164" fontId="0" fillId="4" borderId="0" xfId="0" applyNumberFormat="1" applyFill="1" applyAlignment="1">
      <alignment vertical="center"/>
    </xf>
    <xf numFmtId="164" fontId="0" fillId="4" borderId="1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2" fillId="4" borderId="0" xfId="0" applyNumberFormat="1" applyFont="1" applyFill="1"/>
    <xf numFmtId="164" fontId="0" fillId="0" borderId="3" xfId="0" applyNumberFormat="1" applyBorder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0" fillId="0" borderId="3" xfId="0" applyBorder="1"/>
    <xf numFmtId="164" fontId="3" fillId="0" borderId="0" xfId="0" applyNumberFormat="1" applyFont="1" applyAlignment="1">
      <alignment horizontal="right"/>
    </xf>
    <xf numFmtId="164" fontId="0" fillId="0" borderId="0" xfId="0" applyNumberFormat="1" applyFill="1"/>
    <xf numFmtId="43" fontId="3" fillId="0" borderId="0" xfId="1" applyFont="1" applyAlignment="1">
      <alignment horizontal="right"/>
    </xf>
    <xf numFmtId="0" fontId="0" fillId="0" borderId="0" xfId="0" applyFill="1"/>
    <xf numFmtId="9" fontId="0" fillId="0" borderId="0" xfId="0" applyNumberFormat="1" applyFill="1"/>
    <xf numFmtId="4" fontId="0" fillId="0" borderId="0" xfId="0" applyNumberFormat="1" applyFill="1" applyAlignment="1">
      <alignment horizontal="left" indent="1"/>
    </xf>
    <xf numFmtId="170" fontId="0" fillId="0" borderId="0" xfId="0" applyNumberFormat="1" applyFill="1"/>
    <xf numFmtId="164" fontId="0" fillId="2" borderId="7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24">
    <cellStyle name="Comma" xfId="1" builtinId="3"/>
    <cellStyle name="Comma 2" xfId="3"/>
    <cellStyle name="Comma 2 2" xfId="4"/>
    <cellStyle name="Comma 3" xfId="5"/>
    <cellStyle name="Comma 3 2" xfId="6"/>
    <cellStyle name="Currency 2" xfId="7"/>
    <cellStyle name="Currency 2 2" xfId="8"/>
    <cellStyle name="Currency 3" xfId="9"/>
    <cellStyle name="Currency 4" xfId="10"/>
    <cellStyle name="Excel Built-in Normal 1" xfId="11"/>
    <cellStyle name="Normal" xfId="0" builtinId="0"/>
    <cellStyle name="Normal 10" xfId="12"/>
    <cellStyle name="Normal 2" xfId="13"/>
    <cellStyle name="Normal 2 2" xfId="14"/>
    <cellStyle name="Normal 3" xfId="15"/>
    <cellStyle name="Normal 4" xfId="16"/>
    <cellStyle name="Normal 5" xfId="17"/>
    <cellStyle name="Normal 6" xfId="18"/>
    <cellStyle name="Normal 7" xfId="19"/>
    <cellStyle name="Normal 8" xfId="20"/>
    <cellStyle name="Normal 9" xfId="21"/>
    <cellStyle name="Percent" xfId="2" builtinId="5"/>
    <cellStyle name="Percent 2" xfId="22"/>
    <cellStyle name="Percent 3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5"/>
  <sheetViews>
    <sheetView tabSelected="1" view="pageBreakPreview" zoomScale="90" zoomScaleNormal="80" zoomScaleSheetLayoutView="90" workbookViewId="0">
      <pane xSplit="1" ySplit="3" topLeftCell="B4" activePane="bottomRight" state="frozen"/>
      <selection activeCell="P81" sqref="P81"/>
      <selection pane="topRight" activeCell="P81" sqref="P81"/>
      <selection pane="bottomLeft" activeCell="P81" sqref="P81"/>
      <selection pane="bottomRight" activeCell="L4" sqref="L4"/>
    </sheetView>
  </sheetViews>
  <sheetFormatPr defaultColWidth="9.140625" defaultRowHeight="15"/>
  <cols>
    <col min="1" max="1" width="38.42578125" customWidth="1"/>
    <col min="2" max="2" width="16.28515625" bestFit="1" customWidth="1"/>
    <col min="3" max="3" width="15.7109375" customWidth="1"/>
    <col min="4" max="4" width="15.7109375" style="18" customWidth="1"/>
    <col min="5" max="5" width="15.7109375" customWidth="1"/>
    <col min="6" max="6" width="17.7109375" bestFit="1" customWidth="1"/>
    <col min="7" max="7" width="15.7109375" customWidth="1"/>
    <col min="8" max="8" width="8.42578125" customWidth="1"/>
    <col min="9" max="9" width="16.28515625" style="118" bestFit="1" customWidth="1"/>
    <col min="10" max="10" width="22.5703125" style="24" customWidth="1"/>
    <col min="11" max="11" width="2.7109375" customWidth="1"/>
    <col min="12" max="12" width="21.85546875" customWidth="1"/>
    <col min="13" max="13" width="17.140625" bestFit="1" customWidth="1"/>
    <col min="14" max="14" width="27" style="24" customWidth="1"/>
    <col min="15" max="15" width="17.140625" bestFit="1" customWidth="1"/>
    <col min="16" max="16" width="9.28515625" customWidth="1"/>
    <col min="17" max="17" width="17.140625" bestFit="1" customWidth="1"/>
    <col min="18" max="18" width="2.7109375" customWidth="1"/>
  </cols>
  <sheetData>
    <row r="1" spans="1:17" s="1" customFormat="1" ht="21" customHeight="1">
      <c r="B1" s="2"/>
      <c r="C1" s="2" t="s">
        <v>0</v>
      </c>
      <c r="D1" s="146" t="s">
        <v>1</v>
      </c>
      <c r="E1" s="3"/>
      <c r="F1" s="3" t="s">
        <v>2</v>
      </c>
      <c r="G1" s="3" t="s">
        <v>3</v>
      </c>
      <c r="H1" s="159" t="s">
        <v>4</v>
      </c>
      <c r="I1" s="4" t="s">
        <v>5</v>
      </c>
      <c r="J1" s="5"/>
      <c r="L1" s="2" t="s">
        <v>0</v>
      </c>
      <c r="M1" s="6" t="s">
        <v>5</v>
      </c>
      <c r="N1" s="5"/>
      <c r="O1" s="6" t="s">
        <v>5</v>
      </c>
      <c r="P1" s="7"/>
      <c r="Q1" s="6" t="s">
        <v>5</v>
      </c>
    </row>
    <row r="2" spans="1:17" ht="21">
      <c r="A2" s="8" t="s">
        <v>6</v>
      </c>
      <c r="B2" s="2" t="s">
        <v>7</v>
      </c>
      <c r="C2" s="2" t="s">
        <v>8</v>
      </c>
      <c r="D2" s="147" t="s">
        <v>9</v>
      </c>
      <c r="E2" s="9" t="s">
        <v>2</v>
      </c>
      <c r="F2" s="9" t="s">
        <v>10</v>
      </c>
      <c r="G2" s="9" t="s">
        <v>11</v>
      </c>
      <c r="H2" s="159"/>
      <c r="I2" s="4" t="s">
        <v>15</v>
      </c>
      <c r="J2" s="10" t="s">
        <v>13</v>
      </c>
      <c r="K2" s="11"/>
      <c r="L2" s="2" t="s">
        <v>14</v>
      </c>
      <c r="M2" s="6" t="s">
        <v>16</v>
      </c>
      <c r="N2" s="7"/>
      <c r="O2" s="6" t="s">
        <v>17</v>
      </c>
      <c r="P2" s="7"/>
      <c r="Q2" s="6" t="s">
        <v>116</v>
      </c>
    </row>
    <row r="3" spans="1:17" ht="21">
      <c r="A3" s="12" t="s">
        <v>18</v>
      </c>
      <c r="B3" s="16" t="s">
        <v>12</v>
      </c>
      <c r="C3" s="16">
        <v>44621</v>
      </c>
      <c r="D3" s="134" t="s">
        <v>114</v>
      </c>
      <c r="E3" s="13" t="s">
        <v>115</v>
      </c>
      <c r="F3" s="13"/>
      <c r="G3" s="13"/>
      <c r="H3" s="160"/>
      <c r="I3" s="14" t="s">
        <v>19</v>
      </c>
      <c r="J3" s="15"/>
      <c r="K3" s="11"/>
      <c r="L3" s="16">
        <v>44986</v>
      </c>
      <c r="M3" s="17"/>
      <c r="N3" s="10"/>
      <c r="O3" s="17"/>
      <c r="P3" s="11"/>
      <c r="Q3" s="17"/>
    </row>
    <row r="4" spans="1:17">
      <c r="A4" t="s">
        <v>20</v>
      </c>
      <c r="B4" s="18"/>
      <c r="C4" s="18"/>
      <c r="E4" s="18"/>
      <c r="F4" s="18">
        <f t="shared" ref="F4:F9" si="0">E4+D4</f>
        <v>0</v>
      </c>
      <c r="G4" s="18">
        <f t="shared" ref="G4:G9" si="1">I4-F4</f>
        <v>0</v>
      </c>
      <c r="H4" s="19" t="e">
        <f t="shared" ref="H4:H9" si="2">F4/I4</f>
        <v>#DIV/0!</v>
      </c>
      <c r="I4" s="20"/>
      <c r="J4" s="21"/>
      <c r="L4" s="121"/>
      <c r="M4" s="23"/>
      <c r="N4" s="22"/>
      <c r="O4" s="23"/>
      <c r="P4" s="18"/>
      <c r="Q4" s="23"/>
    </row>
    <row r="5" spans="1:17">
      <c r="A5" t="s">
        <v>21</v>
      </c>
      <c r="B5" s="18"/>
      <c r="C5" s="18"/>
      <c r="E5" s="18"/>
      <c r="F5" s="18">
        <f t="shared" si="0"/>
        <v>0</v>
      </c>
      <c r="G5" s="18">
        <f t="shared" si="1"/>
        <v>0</v>
      </c>
      <c r="H5" s="19" t="e">
        <f t="shared" si="2"/>
        <v>#DIV/0!</v>
      </c>
      <c r="I5" s="20"/>
      <c r="J5"/>
      <c r="L5" s="121"/>
      <c r="M5" s="23"/>
      <c r="N5" s="22"/>
      <c r="O5" s="23"/>
      <c r="P5" s="18"/>
      <c r="Q5" s="23"/>
    </row>
    <row r="6" spans="1:17">
      <c r="A6" t="s">
        <v>22</v>
      </c>
      <c r="B6" s="18">
        <v>5454</v>
      </c>
      <c r="C6" s="18"/>
      <c r="D6" s="18">
        <v>3500</v>
      </c>
      <c r="E6" s="18">
        <f>D6/7*5</f>
        <v>2500</v>
      </c>
      <c r="F6" s="18">
        <f t="shared" si="0"/>
        <v>6000</v>
      </c>
      <c r="G6" s="18">
        <f t="shared" si="1"/>
        <v>-300</v>
      </c>
      <c r="H6" s="19">
        <f t="shared" si="2"/>
        <v>1.0526315789473684</v>
      </c>
      <c r="I6" s="20">
        <v>5700</v>
      </c>
      <c r="J6"/>
      <c r="L6" s="121"/>
      <c r="M6" s="135">
        <v>6600</v>
      </c>
      <c r="N6" s="22"/>
      <c r="O6" s="135">
        <v>7000</v>
      </c>
      <c r="P6" s="18"/>
      <c r="Q6" s="135">
        <v>7000</v>
      </c>
    </row>
    <row r="7" spans="1:17">
      <c r="A7" t="s">
        <v>23</v>
      </c>
      <c r="B7" s="18">
        <v>0</v>
      </c>
      <c r="C7" s="18"/>
      <c r="E7" s="18"/>
      <c r="F7" s="18">
        <f t="shared" si="0"/>
        <v>0</v>
      </c>
      <c r="G7" s="18">
        <f t="shared" si="1"/>
        <v>0</v>
      </c>
      <c r="H7" s="19" t="e">
        <f t="shared" si="2"/>
        <v>#DIV/0!</v>
      </c>
      <c r="I7" s="129"/>
      <c r="J7"/>
      <c r="L7" s="121"/>
      <c r="M7" s="23"/>
      <c r="N7" s="22"/>
      <c r="O7" s="23"/>
      <c r="P7" s="18"/>
      <c r="Q7" s="23"/>
    </row>
    <row r="8" spans="1:17">
      <c r="A8" t="s">
        <v>24</v>
      </c>
      <c r="B8" s="18">
        <v>1277.53</v>
      </c>
      <c r="C8" s="18"/>
      <c r="D8" s="18">
        <v>1032.29</v>
      </c>
      <c r="E8" s="150">
        <v>400</v>
      </c>
      <c r="F8" s="18">
        <f t="shared" si="0"/>
        <v>1432.29</v>
      </c>
      <c r="G8" s="18">
        <f t="shared" si="1"/>
        <v>167.71000000000004</v>
      </c>
      <c r="H8" s="19">
        <f t="shared" si="2"/>
        <v>0.89518124999999993</v>
      </c>
      <c r="I8" s="129">
        <v>1600</v>
      </c>
      <c r="J8" s="22"/>
      <c r="L8" s="121"/>
      <c r="M8" s="135">
        <v>1600</v>
      </c>
      <c r="O8" s="135">
        <v>1650</v>
      </c>
      <c r="P8" s="18"/>
      <c r="Q8" s="135">
        <v>1650</v>
      </c>
    </row>
    <row r="9" spans="1:17">
      <c r="A9" t="s">
        <v>25</v>
      </c>
      <c r="B9" s="18"/>
      <c r="C9" s="18"/>
      <c r="E9" s="18"/>
      <c r="F9" s="18">
        <f t="shared" si="0"/>
        <v>0</v>
      </c>
      <c r="G9" s="18">
        <f t="shared" si="1"/>
        <v>0</v>
      </c>
      <c r="H9" s="19" t="e">
        <f t="shared" si="2"/>
        <v>#DIV/0!</v>
      </c>
      <c r="I9" s="20"/>
      <c r="J9" s="21"/>
      <c r="L9" s="121"/>
      <c r="M9" s="23"/>
      <c r="N9" s="22"/>
      <c r="O9" s="23"/>
      <c r="P9" s="18"/>
      <c r="Q9" s="23"/>
    </row>
    <row r="10" spans="1:17">
      <c r="A10" s="25" t="s">
        <v>26</v>
      </c>
      <c r="B10" s="26"/>
      <c r="C10" s="26"/>
      <c r="D10" s="26"/>
      <c r="E10" s="26"/>
      <c r="F10" s="26"/>
      <c r="G10" s="26"/>
      <c r="H10" s="27"/>
      <c r="I10" s="28"/>
      <c r="J10"/>
      <c r="L10" s="121"/>
      <c r="M10" s="29"/>
      <c r="N10" s="22"/>
      <c r="O10" s="29"/>
      <c r="P10" s="18"/>
      <c r="Q10" s="29"/>
    </row>
    <row r="11" spans="1:17">
      <c r="A11" s="30" t="s">
        <v>27</v>
      </c>
      <c r="B11" s="18">
        <v>1149.46</v>
      </c>
      <c r="C11" s="18"/>
      <c r="E11" s="18">
        <v>1400</v>
      </c>
      <c r="F11" s="18">
        <f>E11+D11</f>
        <v>1400</v>
      </c>
      <c r="G11" s="18">
        <f>I11-F11</f>
        <v>1100</v>
      </c>
      <c r="H11" s="19">
        <f>F11/I11</f>
        <v>0.56000000000000005</v>
      </c>
      <c r="I11" s="31">
        <v>2500</v>
      </c>
      <c r="J11" s="18"/>
      <c r="L11" s="121"/>
      <c r="M11" s="136">
        <v>1500</v>
      </c>
      <c r="N11" s="22"/>
      <c r="O11" s="136">
        <v>2400</v>
      </c>
      <c r="P11" s="18"/>
      <c r="Q11" s="136">
        <v>2400</v>
      </c>
    </row>
    <row r="12" spans="1:17">
      <c r="A12" s="30" t="s">
        <v>28</v>
      </c>
      <c r="B12" s="18">
        <v>0</v>
      </c>
      <c r="C12" s="18"/>
      <c r="D12" s="18">
        <v>10658.5</v>
      </c>
      <c r="E12" s="18"/>
      <c r="F12" s="18">
        <f>E12+D12</f>
        <v>10658.5</v>
      </c>
      <c r="G12" s="18">
        <f>I12-F12</f>
        <v>-10658.5</v>
      </c>
      <c r="H12" s="19" t="e">
        <f>F12/I12</f>
        <v>#DIV/0!</v>
      </c>
      <c r="I12" s="31"/>
      <c r="J12" t="s">
        <v>128</v>
      </c>
      <c r="L12" s="121"/>
      <c r="M12" s="32"/>
      <c r="N12" s="22"/>
      <c r="O12" s="32"/>
      <c r="P12" s="18"/>
      <c r="Q12" s="32"/>
    </row>
    <row r="13" spans="1:17">
      <c r="A13" s="30" t="s">
        <v>29</v>
      </c>
      <c r="B13" s="18">
        <v>952.49</v>
      </c>
      <c r="C13" s="18"/>
      <c r="D13" s="18">
        <v>683.05</v>
      </c>
      <c r="E13" s="18">
        <v>150</v>
      </c>
      <c r="F13" s="18">
        <f>E13+D13</f>
        <v>833.05</v>
      </c>
      <c r="G13" s="18">
        <f>I13-F13</f>
        <v>-33.049999999999955</v>
      </c>
      <c r="H13" s="19">
        <f>F13/I13</f>
        <v>1.0413124999999999</v>
      </c>
      <c r="I13" s="31">
        <v>800</v>
      </c>
      <c r="J13"/>
      <c r="L13" s="121"/>
      <c r="M13" s="136">
        <v>850</v>
      </c>
      <c r="N13" s="22"/>
      <c r="O13" s="136">
        <v>850</v>
      </c>
      <c r="P13" s="18"/>
      <c r="Q13" s="136">
        <v>850</v>
      </c>
    </row>
    <row r="14" spans="1:17">
      <c r="A14" s="30" t="s">
        <v>30</v>
      </c>
      <c r="B14" s="18">
        <v>30</v>
      </c>
      <c r="C14" s="18"/>
      <c r="D14" s="18">
        <v>18</v>
      </c>
      <c r="E14" s="18">
        <v>18</v>
      </c>
      <c r="F14" s="18">
        <f>E14+D14</f>
        <v>36</v>
      </c>
      <c r="G14" s="18">
        <f>I14-F14</f>
        <v>-36</v>
      </c>
      <c r="H14" s="19" t="e">
        <f>F14/I14</f>
        <v>#DIV/0!</v>
      </c>
      <c r="I14" s="31"/>
      <c r="J14" t="s">
        <v>127</v>
      </c>
      <c r="L14" s="121"/>
      <c r="M14" s="32"/>
      <c r="N14" s="22"/>
      <c r="O14" s="32"/>
      <c r="P14" s="18"/>
      <c r="Q14" s="32"/>
    </row>
    <row r="15" spans="1:17">
      <c r="A15" s="30" t="s">
        <v>113</v>
      </c>
      <c r="B15" s="18">
        <v>58.8</v>
      </c>
      <c r="C15" s="18"/>
      <c r="D15" s="18">
        <v>83.25</v>
      </c>
      <c r="E15" s="18">
        <f>(6.5*5)+(40)</f>
        <v>72.5</v>
      </c>
      <c r="F15" s="18"/>
      <c r="G15" s="18"/>
      <c r="H15" s="19"/>
      <c r="I15" s="31"/>
      <c r="J15"/>
      <c r="L15" s="121"/>
      <c r="M15" s="136">
        <v>100</v>
      </c>
      <c r="N15" s="22"/>
      <c r="O15" s="136">
        <v>100</v>
      </c>
      <c r="P15" s="18"/>
      <c r="Q15" s="136">
        <v>100</v>
      </c>
    </row>
    <row r="16" spans="1:17">
      <c r="A16" s="33" t="s">
        <v>31</v>
      </c>
      <c r="B16" s="34">
        <v>537.5</v>
      </c>
      <c r="C16" s="34"/>
      <c r="D16" s="34">
        <v>1687.5</v>
      </c>
      <c r="E16" s="34">
        <v>100</v>
      </c>
      <c r="F16" s="34">
        <f>E16+D16</f>
        <v>1787.5</v>
      </c>
      <c r="G16" s="34">
        <f>I16-F16</f>
        <v>-1037.5</v>
      </c>
      <c r="H16" s="35">
        <f>F16/I16</f>
        <v>2.3833333333333333</v>
      </c>
      <c r="I16" s="36">
        <v>750</v>
      </c>
      <c r="J16"/>
      <c r="L16" s="122"/>
      <c r="M16" s="137">
        <v>2300</v>
      </c>
      <c r="N16" s="22"/>
      <c r="O16" s="137">
        <v>2300</v>
      </c>
      <c r="P16" s="18"/>
      <c r="Q16" s="137">
        <v>1600</v>
      </c>
    </row>
    <row r="17" spans="1:17">
      <c r="A17" s="25" t="s">
        <v>32</v>
      </c>
      <c r="B17" s="26"/>
      <c r="C17" s="26"/>
      <c r="D17" s="26"/>
      <c r="E17" s="26"/>
      <c r="F17" s="37"/>
      <c r="G17" s="37"/>
      <c r="H17" s="38"/>
      <c r="I17" s="39"/>
      <c r="J17"/>
      <c r="L17" s="121"/>
      <c r="M17" s="29"/>
      <c r="N17" s="22"/>
      <c r="O17" s="29"/>
      <c r="P17" s="18"/>
      <c r="Q17" s="29"/>
    </row>
    <row r="18" spans="1:17">
      <c r="A18" s="30" t="s">
        <v>33</v>
      </c>
      <c r="B18" s="18">
        <v>300.83999999999997</v>
      </c>
      <c r="C18" s="18"/>
      <c r="D18" s="18">
        <v>230.76</v>
      </c>
      <c r="E18" s="18">
        <f>D18/7*5</f>
        <v>164.82857142857142</v>
      </c>
      <c r="F18" s="18">
        <f t="shared" ref="F18:F29" si="3">E18+D18</f>
        <v>395.58857142857141</v>
      </c>
      <c r="G18" s="18">
        <f t="shared" ref="G18:G29" si="4">I18-F18</f>
        <v>54.411428571428587</v>
      </c>
      <c r="H18" s="19">
        <f t="shared" ref="H18:H29" si="5">F18/I18</f>
        <v>0.87908571428571425</v>
      </c>
      <c r="I18" s="40">
        <v>450</v>
      </c>
      <c r="J18" s="18"/>
      <c r="L18" s="122"/>
      <c r="M18" s="136">
        <v>450</v>
      </c>
      <c r="N18" s="22"/>
      <c r="O18" s="136">
        <v>450</v>
      </c>
      <c r="P18" s="18"/>
      <c r="Q18" s="136">
        <v>450</v>
      </c>
    </row>
    <row r="19" spans="1:17">
      <c r="A19" s="30" t="s">
        <v>34</v>
      </c>
      <c r="B19" s="18">
        <v>51.36</v>
      </c>
      <c r="C19" s="18"/>
      <c r="D19" s="18">
        <f>582.98-399</f>
        <v>183.98000000000002</v>
      </c>
      <c r="E19" s="18">
        <v>200</v>
      </c>
      <c r="F19" s="18">
        <f t="shared" si="3"/>
        <v>383.98</v>
      </c>
      <c r="G19" s="18">
        <f t="shared" si="4"/>
        <v>16.019999999999982</v>
      </c>
      <c r="H19" s="19">
        <f t="shared" si="5"/>
        <v>0.95995000000000008</v>
      </c>
      <c r="I19" s="40">
        <v>400</v>
      </c>
      <c r="J19"/>
      <c r="L19" s="122"/>
      <c r="M19" s="136">
        <v>300</v>
      </c>
      <c r="N19" s="22"/>
      <c r="O19" s="136">
        <v>400</v>
      </c>
      <c r="P19" s="18"/>
      <c r="Q19" s="136">
        <v>400</v>
      </c>
    </row>
    <row r="20" spans="1:17">
      <c r="A20" s="30" t="s">
        <v>35</v>
      </c>
      <c r="B20" s="18">
        <v>92</v>
      </c>
      <c r="C20" s="18"/>
      <c r="D20" s="18">
        <v>56</v>
      </c>
      <c r="E20" s="18">
        <f>7*5</f>
        <v>35</v>
      </c>
      <c r="F20" s="18">
        <f t="shared" si="3"/>
        <v>91</v>
      </c>
      <c r="G20" s="18">
        <f t="shared" si="4"/>
        <v>-91</v>
      </c>
      <c r="H20" s="19" t="e">
        <f t="shared" si="5"/>
        <v>#DIV/0!</v>
      </c>
      <c r="I20" s="40"/>
      <c r="J20"/>
      <c r="L20" s="121"/>
      <c r="M20" s="136">
        <v>100</v>
      </c>
      <c r="N20" s="22"/>
      <c r="O20" s="136">
        <v>100</v>
      </c>
      <c r="P20" s="18"/>
      <c r="Q20" s="136">
        <v>100</v>
      </c>
    </row>
    <row r="21" spans="1:17">
      <c r="A21" s="30" t="s">
        <v>36</v>
      </c>
      <c r="B21" s="43">
        <v>237.55</v>
      </c>
      <c r="C21" s="18"/>
      <c r="D21" s="18">
        <v>214.96</v>
      </c>
      <c r="E21" s="18">
        <f>D21/7*5</f>
        <v>153.54285714285714</v>
      </c>
      <c r="F21" s="18">
        <f t="shared" si="3"/>
        <v>368.50285714285712</v>
      </c>
      <c r="G21" s="18">
        <f t="shared" si="4"/>
        <v>31.497142857142876</v>
      </c>
      <c r="H21" s="19">
        <f t="shared" si="5"/>
        <v>0.92125714285714277</v>
      </c>
      <c r="I21" s="40">
        <v>400</v>
      </c>
      <c r="J21"/>
      <c r="L21" s="121"/>
      <c r="M21" s="136">
        <v>300</v>
      </c>
      <c r="N21" s="22"/>
      <c r="O21" s="136">
        <v>400</v>
      </c>
      <c r="P21" s="18"/>
      <c r="Q21" s="136">
        <v>400</v>
      </c>
    </row>
    <row r="22" spans="1:17">
      <c r="A22" s="30" t="s">
        <v>37</v>
      </c>
      <c r="B22" s="43">
        <v>113.96</v>
      </c>
      <c r="C22" s="18"/>
      <c r="D22" s="18">
        <v>32.04</v>
      </c>
      <c r="E22" s="18">
        <v>60</v>
      </c>
      <c r="F22" s="18">
        <f t="shared" si="3"/>
        <v>92.039999999999992</v>
      </c>
      <c r="G22" s="18">
        <f t="shared" si="4"/>
        <v>37.960000000000008</v>
      </c>
      <c r="H22" s="19">
        <f t="shared" si="5"/>
        <v>0.70799999999999996</v>
      </c>
      <c r="I22" s="40">
        <v>130</v>
      </c>
      <c r="J22"/>
      <c r="L22" s="121"/>
      <c r="M22" s="136">
        <v>130</v>
      </c>
      <c r="N22" s="22"/>
      <c r="O22" s="136">
        <v>130</v>
      </c>
      <c r="P22" s="18"/>
      <c r="Q22" s="136">
        <v>130</v>
      </c>
    </row>
    <row r="23" spans="1:17">
      <c r="A23" s="30" t="s">
        <v>38</v>
      </c>
      <c r="B23" s="43">
        <v>456.39</v>
      </c>
      <c r="C23" s="18"/>
      <c r="D23" s="18">
        <v>240.94</v>
      </c>
      <c r="E23" s="18">
        <f>D23/7*5</f>
        <v>172.10000000000002</v>
      </c>
      <c r="F23" s="18">
        <f t="shared" si="3"/>
        <v>413.04</v>
      </c>
      <c r="G23" s="18">
        <f t="shared" si="4"/>
        <v>-13.04000000000002</v>
      </c>
      <c r="H23" s="19">
        <f t="shared" si="5"/>
        <v>1.0326</v>
      </c>
      <c r="I23" s="40">
        <v>400</v>
      </c>
      <c r="J23" s="18"/>
      <c r="L23" s="121"/>
      <c r="M23" s="136">
        <v>300</v>
      </c>
      <c r="N23" s="22"/>
      <c r="O23" s="136">
        <v>450</v>
      </c>
      <c r="P23" s="18"/>
      <c r="Q23" s="136">
        <v>450</v>
      </c>
    </row>
    <row r="24" spans="1:17">
      <c r="A24" s="30" t="s">
        <v>39</v>
      </c>
      <c r="B24" s="18">
        <v>372.78</v>
      </c>
      <c r="C24" s="18"/>
      <c r="D24" s="18">
        <v>304.41000000000003</v>
      </c>
      <c r="E24" s="18">
        <f>42.95*5</f>
        <v>214.75</v>
      </c>
      <c r="F24" s="18">
        <f t="shared" si="3"/>
        <v>519.16000000000008</v>
      </c>
      <c r="G24" s="18">
        <f t="shared" si="4"/>
        <v>-119.16000000000008</v>
      </c>
      <c r="H24" s="19">
        <f t="shared" si="5"/>
        <v>1.2979000000000003</v>
      </c>
      <c r="I24" s="40">
        <v>400</v>
      </c>
      <c r="J24"/>
      <c r="L24" s="121"/>
      <c r="M24" s="136">
        <v>550</v>
      </c>
      <c r="N24" s="22"/>
      <c r="O24" s="136">
        <v>550</v>
      </c>
      <c r="P24" s="18"/>
      <c r="Q24" s="136">
        <v>550</v>
      </c>
    </row>
    <row r="25" spans="1:17">
      <c r="A25" s="30" t="s">
        <v>40</v>
      </c>
      <c r="B25" s="18">
        <v>426.13</v>
      </c>
      <c r="C25" s="18"/>
      <c r="D25" s="18">
        <v>199.81</v>
      </c>
      <c r="E25" s="18">
        <f>D25/6*6</f>
        <v>199.81</v>
      </c>
      <c r="F25" s="18">
        <f t="shared" si="3"/>
        <v>399.62</v>
      </c>
      <c r="G25" s="18">
        <f t="shared" si="4"/>
        <v>0.37999999999999545</v>
      </c>
      <c r="H25" s="19">
        <f t="shared" si="5"/>
        <v>0.99904999999999999</v>
      </c>
      <c r="I25" s="40">
        <v>400</v>
      </c>
      <c r="J25"/>
      <c r="L25" s="121"/>
      <c r="M25" s="136">
        <v>450</v>
      </c>
      <c r="N25" s="22"/>
      <c r="O25" s="136">
        <v>450</v>
      </c>
      <c r="P25" s="18"/>
      <c r="Q25" s="136">
        <v>450</v>
      </c>
    </row>
    <row r="26" spans="1:17">
      <c r="A26" s="30" t="s">
        <v>41</v>
      </c>
      <c r="B26" s="18">
        <v>864.35</v>
      </c>
      <c r="C26" s="18"/>
      <c r="D26" s="18">
        <v>284.66000000000003</v>
      </c>
      <c r="E26" s="18">
        <v>660</v>
      </c>
      <c r="F26" s="18">
        <f t="shared" si="3"/>
        <v>944.66000000000008</v>
      </c>
      <c r="G26" s="18">
        <f t="shared" si="4"/>
        <v>5.3399999999999181</v>
      </c>
      <c r="H26" s="19">
        <f t="shared" si="5"/>
        <v>0.99437894736842114</v>
      </c>
      <c r="I26" s="40">
        <v>950</v>
      </c>
      <c r="J26"/>
      <c r="L26" s="121"/>
      <c r="M26" s="136">
        <v>800</v>
      </c>
      <c r="N26" s="22"/>
      <c r="O26" s="136">
        <v>1000</v>
      </c>
      <c r="Q26" s="136">
        <v>1000</v>
      </c>
    </row>
    <row r="27" spans="1:17">
      <c r="A27" s="30" t="s">
        <v>42</v>
      </c>
      <c r="B27" s="18"/>
      <c r="C27" s="18"/>
      <c r="E27" s="18"/>
      <c r="F27" s="18"/>
      <c r="G27" s="18"/>
      <c r="H27" s="19"/>
      <c r="I27" s="40">
        <v>150</v>
      </c>
      <c r="J27"/>
      <c r="L27" s="121"/>
      <c r="M27" s="136">
        <v>100</v>
      </c>
      <c r="N27" s="22"/>
      <c r="O27" s="136">
        <v>150</v>
      </c>
      <c r="Q27" s="136">
        <v>150</v>
      </c>
    </row>
    <row r="28" spans="1:17">
      <c r="A28" s="33" t="s">
        <v>43</v>
      </c>
      <c r="B28" s="34">
        <v>500.04</v>
      </c>
      <c r="C28" s="34"/>
      <c r="D28" s="34">
        <v>341.67</v>
      </c>
      <c r="E28" s="34">
        <f>D28/7*5</f>
        <v>244.05</v>
      </c>
      <c r="F28" s="34">
        <f t="shared" si="3"/>
        <v>585.72</v>
      </c>
      <c r="G28" s="34">
        <f t="shared" si="4"/>
        <v>14.279999999999973</v>
      </c>
      <c r="H28" s="35">
        <f t="shared" si="5"/>
        <v>0.97620000000000007</v>
      </c>
      <c r="I28" s="41">
        <v>600</v>
      </c>
      <c r="J28"/>
      <c r="L28" s="121"/>
      <c r="M28" s="137">
        <v>600</v>
      </c>
      <c r="N28" s="22"/>
      <c r="O28" s="137">
        <v>700</v>
      </c>
      <c r="P28" s="18"/>
      <c r="Q28" s="137">
        <v>700</v>
      </c>
    </row>
    <row r="29" spans="1:17">
      <c r="A29" t="s">
        <v>44</v>
      </c>
      <c r="B29" s="18">
        <v>572</v>
      </c>
      <c r="C29" s="18"/>
      <c r="D29" s="18">
        <v>528.25</v>
      </c>
      <c r="E29" s="18">
        <f>D29/7*5</f>
        <v>377.32142857142856</v>
      </c>
      <c r="F29" s="18">
        <f t="shared" si="3"/>
        <v>905.57142857142856</v>
      </c>
      <c r="G29" s="18">
        <f t="shared" si="4"/>
        <v>-105.57142857142856</v>
      </c>
      <c r="H29" s="19">
        <f t="shared" si="5"/>
        <v>1.1319642857142858</v>
      </c>
      <c r="I29" s="129">
        <v>800</v>
      </c>
      <c r="J29" s="42"/>
      <c r="L29" s="121"/>
      <c r="M29" s="135">
        <v>800</v>
      </c>
      <c r="N29" s="22"/>
      <c r="O29" s="135">
        <v>900</v>
      </c>
      <c r="P29" s="18"/>
      <c r="Q29" s="135">
        <v>900</v>
      </c>
    </row>
    <row r="30" spans="1:17">
      <c r="A30" t="s">
        <v>45</v>
      </c>
      <c r="B30" s="18">
        <v>60562.080000000002</v>
      </c>
      <c r="C30" s="18"/>
      <c r="D30" s="18">
        <v>40357.82</v>
      </c>
      <c r="E30" s="18">
        <f>(D30/7*5)+921.13</f>
        <v>29748.144285714287</v>
      </c>
      <c r="F30" s="18">
        <f t="shared" ref="F30:F35" si="6">E30+D30</f>
        <v>70105.96428571429</v>
      </c>
      <c r="G30" s="18">
        <f>I30-F30</f>
        <v>-1905.9642857142899</v>
      </c>
      <c r="H30" s="19">
        <f>F30/I30</f>
        <v>1.0279466904063679</v>
      </c>
      <c r="I30" s="20">
        <v>68200</v>
      </c>
      <c r="L30" s="121"/>
      <c r="M30" s="135">
        <v>75600</v>
      </c>
      <c r="N30" s="22"/>
      <c r="O30" s="135">
        <v>77000</v>
      </c>
      <c r="P30" s="18"/>
      <c r="Q30" s="135">
        <v>78000</v>
      </c>
    </row>
    <row r="31" spans="1:17">
      <c r="A31" t="s">
        <v>46</v>
      </c>
      <c r="B31" s="18">
        <v>60</v>
      </c>
      <c r="C31" s="18"/>
      <c r="D31" s="18">
        <v>295</v>
      </c>
      <c r="E31" s="18">
        <v>100</v>
      </c>
      <c r="F31" s="18">
        <f t="shared" si="6"/>
        <v>395</v>
      </c>
      <c r="G31" s="18">
        <f>I31-F31</f>
        <v>-95</v>
      </c>
      <c r="H31" s="19">
        <f>F31/I31</f>
        <v>1.3166666666666667</v>
      </c>
      <c r="I31" s="20">
        <v>300</v>
      </c>
      <c r="J31" s="21"/>
      <c r="L31" s="121"/>
      <c r="M31" s="135">
        <v>400</v>
      </c>
      <c r="N31" s="22"/>
      <c r="O31" s="135">
        <v>300</v>
      </c>
      <c r="P31" s="18"/>
      <c r="Q31" s="135">
        <v>300</v>
      </c>
    </row>
    <row r="32" spans="1:17">
      <c r="A32" t="s">
        <v>123</v>
      </c>
      <c r="B32" s="18"/>
      <c r="C32" s="18"/>
      <c r="E32" s="18"/>
      <c r="F32" s="18"/>
      <c r="G32" s="18"/>
      <c r="H32" s="19"/>
      <c r="I32" s="20"/>
      <c r="J32" s="21"/>
      <c r="L32" s="121"/>
      <c r="M32" s="135">
        <v>600</v>
      </c>
      <c r="N32" s="22" t="s">
        <v>125</v>
      </c>
      <c r="O32" s="135">
        <v>1000</v>
      </c>
      <c r="P32" s="18"/>
      <c r="Q32" s="135">
        <v>1000</v>
      </c>
    </row>
    <row r="33" spans="1:19">
      <c r="A33" t="s">
        <v>47</v>
      </c>
      <c r="B33" s="18">
        <v>807.75</v>
      </c>
      <c r="C33" s="18"/>
      <c r="D33" s="18">
        <v>250</v>
      </c>
      <c r="E33" s="18">
        <v>250</v>
      </c>
      <c r="F33" s="18">
        <f t="shared" si="6"/>
        <v>500</v>
      </c>
      <c r="G33" s="18">
        <f>I33-F33</f>
        <v>100</v>
      </c>
      <c r="H33" s="19">
        <f>F33/I33</f>
        <v>0.83333333333333337</v>
      </c>
      <c r="I33" s="20">
        <v>600</v>
      </c>
      <c r="J33"/>
      <c r="L33" s="121"/>
      <c r="M33" s="135">
        <v>500</v>
      </c>
      <c r="N33" s="22"/>
      <c r="O33" s="135">
        <v>600</v>
      </c>
      <c r="P33" s="18"/>
      <c r="Q33" s="135">
        <v>600</v>
      </c>
    </row>
    <row r="34" spans="1:19">
      <c r="A34" t="s">
        <v>48</v>
      </c>
      <c r="B34" s="18">
        <v>150</v>
      </c>
      <c r="C34" s="18"/>
      <c r="E34" s="18">
        <v>250</v>
      </c>
      <c r="F34" s="18">
        <f t="shared" si="6"/>
        <v>250</v>
      </c>
      <c r="G34" s="18">
        <f>I34-F34</f>
        <v>350</v>
      </c>
      <c r="H34" s="19">
        <f>F34/I34</f>
        <v>0.41666666666666669</v>
      </c>
      <c r="I34" s="129">
        <v>600</v>
      </c>
      <c r="J34"/>
      <c r="L34" s="121"/>
      <c r="M34" s="138">
        <v>500</v>
      </c>
      <c r="N34" s="22"/>
      <c r="O34" s="138">
        <v>600</v>
      </c>
      <c r="P34" s="18"/>
      <c r="Q34" s="138">
        <v>600</v>
      </c>
    </row>
    <row r="35" spans="1:19">
      <c r="A35" t="s">
        <v>49</v>
      </c>
      <c r="B35" s="18">
        <v>800</v>
      </c>
      <c r="C35" s="18"/>
      <c r="E35" s="18">
        <v>400</v>
      </c>
      <c r="F35" s="18">
        <f t="shared" si="6"/>
        <v>400</v>
      </c>
      <c r="G35" s="18">
        <f>I35-F35</f>
        <v>200</v>
      </c>
      <c r="H35" s="19">
        <f>F35/I35</f>
        <v>0.66666666666666663</v>
      </c>
      <c r="I35" s="132">
        <v>600</v>
      </c>
      <c r="J35"/>
      <c r="L35" s="121"/>
      <c r="M35" s="139">
        <v>500</v>
      </c>
      <c r="N35" s="22"/>
      <c r="O35" s="139">
        <v>600</v>
      </c>
      <c r="P35" s="18"/>
      <c r="Q35" s="139">
        <v>600</v>
      </c>
    </row>
    <row r="36" spans="1:19">
      <c r="A36" s="25" t="s">
        <v>50</v>
      </c>
      <c r="B36" s="26"/>
      <c r="C36" s="26"/>
      <c r="D36" s="26"/>
      <c r="E36" s="26"/>
      <c r="F36" s="26"/>
      <c r="G36" s="26"/>
      <c r="H36" s="27"/>
      <c r="I36" s="28"/>
      <c r="J36" s="45"/>
      <c r="L36" s="121"/>
      <c r="M36" s="29"/>
      <c r="N36" s="22"/>
      <c r="O36" s="29"/>
      <c r="P36" s="18"/>
      <c r="Q36" s="29"/>
    </row>
    <row r="37" spans="1:19">
      <c r="A37" s="46" t="s">
        <v>51</v>
      </c>
      <c r="B37" s="18"/>
      <c r="C37" s="18">
        <v>0</v>
      </c>
      <c r="E37" s="18"/>
      <c r="F37" s="18"/>
      <c r="G37" s="18"/>
      <c r="H37" s="19"/>
      <c r="I37" s="31"/>
      <c r="J37" s="45"/>
      <c r="L37" s="121">
        <v>0</v>
      </c>
      <c r="M37" s="32"/>
      <c r="N37" s="22"/>
      <c r="O37" s="32"/>
      <c r="P37" s="18"/>
      <c r="Q37" s="32"/>
    </row>
    <row r="38" spans="1:19">
      <c r="A38" s="30" t="s">
        <v>52</v>
      </c>
      <c r="B38" s="18">
        <v>2626.77</v>
      </c>
      <c r="C38" s="18"/>
      <c r="D38" s="18">
        <v>1685.02</v>
      </c>
      <c r="E38" s="18">
        <f>D38/7*5</f>
        <v>1203.5857142857142</v>
      </c>
      <c r="F38" s="18">
        <f>E38+D38</f>
        <v>2888.6057142857144</v>
      </c>
      <c r="G38" s="18">
        <f>I38-F38</f>
        <v>3511.3942857142856</v>
      </c>
      <c r="H38" s="19">
        <f>F38/I38</f>
        <v>0.45134464285714287</v>
      </c>
      <c r="I38" s="31">
        <v>6400</v>
      </c>
      <c r="J38" s="45"/>
      <c r="L38" s="121"/>
      <c r="M38" s="136">
        <v>3500</v>
      </c>
      <c r="N38" s="22"/>
      <c r="O38" s="136">
        <v>6800</v>
      </c>
      <c r="P38" s="18"/>
      <c r="Q38" s="136">
        <v>6800</v>
      </c>
    </row>
    <row r="39" spans="1:19">
      <c r="A39" s="33" t="s">
        <v>23</v>
      </c>
      <c r="B39" s="34">
        <v>740</v>
      </c>
      <c r="C39" s="34"/>
      <c r="D39" s="34">
        <f>650-300</f>
        <v>350</v>
      </c>
      <c r="E39" s="34">
        <f>D39/7*5</f>
        <v>250</v>
      </c>
      <c r="F39" s="34">
        <f>E39+D39</f>
        <v>600</v>
      </c>
      <c r="G39" s="34">
        <f>I39-F39</f>
        <v>300</v>
      </c>
      <c r="H39" s="35">
        <f>F39/I39</f>
        <v>0.66666666666666663</v>
      </c>
      <c r="I39" s="36">
        <v>900</v>
      </c>
      <c r="J39" s="45"/>
      <c r="L39" s="121"/>
      <c r="M39" s="137">
        <v>700</v>
      </c>
      <c r="N39" s="22"/>
      <c r="O39" s="137">
        <v>700</v>
      </c>
      <c r="P39" s="18"/>
      <c r="Q39" s="137">
        <v>700</v>
      </c>
    </row>
    <row r="40" spans="1:19">
      <c r="A40" t="s">
        <v>53</v>
      </c>
      <c r="B40" s="18"/>
      <c r="C40" s="18"/>
      <c r="E40" s="18"/>
      <c r="F40" s="43"/>
      <c r="G40" s="43"/>
      <c r="H40" s="44"/>
      <c r="I40" s="129"/>
      <c r="J40"/>
      <c r="L40" s="121"/>
      <c r="M40" s="23"/>
      <c r="N40" s="22"/>
      <c r="O40" s="23"/>
      <c r="P40" s="18"/>
      <c r="Q40" s="23"/>
    </row>
    <row r="41" spans="1:19">
      <c r="A41" t="s">
        <v>54</v>
      </c>
      <c r="B41" s="18">
        <v>5700.18</v>
      </c>
      <c r="C41" s="18"/>
      <c r="D41" s="18">
        <v>1454.87</v>
      </c>
      <c r="E41" s="18">
        <v>2000</v>
      </c>
      <c r="F41" s="18">
        <f>E41+D41</f>
        <v>3454.87</v>
      </c>
      <c r="G41" s="18">
        <f>I41-F41</f>
        <v>1045.1300000000001</v>
      </c>
      <c r="H41" s="19">
        <f>F41/I41</f>
        <v>0.76774888888888881</v>
      </c>
      <c r="I41" s="129">
        <v>4500</v>
      </c>
      <c r="J41"/>
      <c r="L41" s="122"/>
      <c r="M41" s="135">
        <v>3500</v>
      </c>
      <c r="N41" s="22"/>
      <c r="O41" s="135">
        <v>4500</v>
      </c>
      <c r="P41" s="18"/>
      <c r="Q41" s="135">
        <v>4500</v>
      </c>
      <c r="S41" t="s">
        <v>55</v>
      </c>
    </row>
    <row r="42" spans="1:19">
      <c r="A42" t="s">
        <v>106</v>
      </c>
      <c r="B42" s="18">
        <v>280</v>
      </c>
      <c r="C42" s="18"/>
      <c r="E42" s="18">
        <v>200</v>
      </c>
      <c r="F42" s="18">
        <f>E42+D42</f>
        <v>200</v>
      </c>
      <c r="G42" s="18">
        <f>I42-F42</f>
        <v>1300</v>
      </c>
      <c r="H42" s="19">
        <f>F42/I42</f>
        <v>0.13333333333333333</v>
      </c>
      <c r="I42" s="20">
        <v>1500</v>
      </c>
      <c r="J42" s="21"/>
      <c r="L42" s="121"/>
      <c r="M42" s="135">
        <v>1000</v>
      </c>
      <c r="N42" s="22"/>
      <c r="O42" s="135">
        <v>1500</v>
      </c>
      <c r="P42" s="18"/>
      <c r="Q42" s="135">
        <v>1500</v>
      </c>
    </row>
    <row r="43" spans="1:19">
      <c r="A43" t="s">
        <v>107</v>
      </c>
      <c r="B43" s="18"/>
      <c r="C43" s="18"/>
      <c r="E43" s="18"/>
      <c r="F43" s="18"/>
      <c r="G43" s="18"/>
      <c r="H43" s="19"/>
      <c r="I43" s="20"/>
      <c r="J43" s="21"/>
      <c r="L43" s="121"/>
      <c r="M43" s="135">
        <v>1000</v>
      </c>
      <c r="N43" s="22"/>
      <c r="O43" s="135">
        <v>1000</v>
      </c>
      <c r="P43" s="18"/>
      <c r="Q43" s="135">
        <v>1000</v>
      </c>
    </row>
    <row r="44" spans="1:19">
      <c r="A44" s="25" t="s">
        <v>56</v>
      </c>
      <c r="B44" s="26"/>
      <c r="C44" s="148"/>
      <c r="D44" s="26"/>
      <c r="E44" s="26"/>
      <c r="F44" s="26"/>
      <c r="G44" s="26"/>
      <c r="H44" s="27"/>
      <c r="I44" s="39"/>
      <c r="J44" s="22"/>
      <c r="L44" s="121"/>
      <c r="M44" s="133"/>
      <c r="O44" s="133"/>
      <c r="P44" s="18"/>
      <c r="Q44" s="133"/>
    </row>
    <row r="45" spans="1:19">
      <c r="A45" s="30" t="s">
        <v>23</v>
      </c>
      <c r="B45" s="18">
        <v>1267.3</v>
      </c>
      <c r="D45" s="18">
        <f>1905.41-120.95-233.9-1432.34</f>
        <v>118.22000000000003</v>
      </c>
      <c r="E45" s="18">
        <v>200</v>
      </c>
      <c r="F45" s="157">
        <f>SUM(E45:E48)+SUM(D45:D48)</f>
        <v>1576.22</v>
      </c>
      <c r="G45" s="157">
        <f>I45-F45</f>
        <v>-76.220000000000027</v>
      </c>
      <c r="H45" s="158">
        <f>F45/I45</f>
        <v>1.0508133333333334</v>
      </c>
      <c r="I45" s="156">
        <v>1500</v>
      </c>
      <c r="J45" s="22"/>
      <c r="L45" s="121"/>
      <c r="M45" s="140">
        <v>300</v>
      </c>
      <c r="O45" s="140">
        <v>400</v>
      </c>
      <c r="P45" s="18"/>
      <c r="Q45" s="140">
        <v>450</v>
      </c>
    </row>
    <row r="46" spans="1:19">
      <c r="A46" s="30" t="s">
        <v>54</v>
      </c>
      <c r="B46" s="18"/>
      <c r="D46" s="18">
        <v>68</v>
      </c>
      <c r="E46" s="18"/>
      <c r="F46" s="157"/>
      <c r="G46" s="157"/>
      <c r="H46" s="158"/>
      <c r="I46" s="156"/>
      <c r="J46" s="22"/>
      <c r="L46" s="121"/>
      <c r="M46" s="140">
        <v>100</v>
      </c>
      <c r="O46" s="140">
        <v>100</v>
      </c>
      <c r="P46" s="18"/>
      <c r="Q46" s="140">
        <v>100</v>
      </c>
    </row>
    <row r="47" spans="1:19">
      <c r="A47" s="30" t="s">
        <v>57</v>
      </c>
      <c r="B47" s="18">
        <v>2295.23</v>
      </c>
      <c r="D47" s="18">
        <v>190.06</v>
      </c>
      <c r="E47" s="18"/>
      <c r="F47" s="157"/>
      <c r="G47" s="157"/>
      <c r="H47" s="158"/>
      <c r="I47" s="156"/>
      <c r="J47" s="22"/>
      <c r="L47" s="121"/>
      <c r="M47" s="140">
        <v>200</v>
      </c>
      <c r="O47" s="140">
        <v>200</v>
      </c>
      <c r="P47" s="18"/>
      <c r="Q47" s="140">
        <v>200</v>
      </c>
    </row>
    <row r="48" spans="1:19">
      <c r="A48" s="30" t="s">
        <v>58</v>
      </c>
      <c r="B48" s="18">
        <v>367.5</v>
      </c>
      <c r="D48" s="18">
        <v>799.94</v>
      </c>
      <c r="E48" s="18">
        <v>200</v>
      </c>
      <c r="F48" s="157"/>
      <c r="G48" s="157"/>
      <c r="H48" s="158"/>
      <c r="I48" s="156"/>
      <c r="J48" s="22"/>
      <c r="L48" s="121"/>
      <c r="M48" s="140">
        <v>1000</v>
      </c>
      <c r="N48" s="24" t="s">
        <v>122</v>
      </c>
      <c r="O48" s="140">
        <v>1000</v>
      </c>
      <c r="P48" s="18"/>
      <c r="Q48" s="140">
        <v>1000</v>
      </c>
    </row>
    <row r="49" spans="1:17">
      <c r="A49" s="46" t="s">
        <v>59</v>
      </c>
      <c r="B49" s="18"/>
      <c r="C49" s="18">
        <v>5940.94</v>
      </c>
      <c r="E49" s="18"/>
      <c r="F49" s="18"/>
      <c r="G49" s="18"/>
      <c r="H49" s="19"/>
      <c r="I49" s="40"/>
      <c r="J49" s="22"/>
      <c r="L49" s="121">
        <v>5940.94</v>
      </c>
      <c r="M49" s="47"/>
      <c r="O49" s="47"/>
      <c r="P49" s="18"/>
      <c r="Q49" s="47"/>
    </row>
    <row r="50" spans="1:17">
      <c r="A50" s="46" t="s">
        <v>60</v>
      </c>
      <c r="B50" s="18"/>
      <c r="C50" s="18"/>
      <c r="E50" s="18"/>
      <c r="F50" s="18"/>
      <c r="G50" s="18"/>
      <c r="H50" s="19"/>
      <c r="I50" s="31"/>
      <c r="J50" s="22"/>
      <c r="L50" s="121"/>
      <c r="M50" s="47"/>
      <c r="O50" s="47"/>
      <c r="P50" s="18"/>
      <c r="Q50" s="47"/>
    </row>
    <row r="51" spans="1:17">
      <c r="A51" s="46" t="s">
        <v>61</v>
      </c>
      <c r="B51" s="18"/>
      <c r="C51" s="18"/>
      <c r="E51" s="18"/>
      <c r="F51" s="18"/>
      <c r="G51" s="18"/>
      <c r="H51" s="19"/>
      <c r="I51" s="31"/>
      <c r="J51"/>
      <c r="L51" s="121"/>
      <c r="M51" s="32"/>
      <c r="N51" s="22"/>
      <c r="O51" s="32"/>
      <c r="P51" s="18"/>
      <c r="Q51" s="32"/>
    </row>
    <row r="52" spans="1:17">
      <c r="A52" s="46" t="s">
        <v>62</v>
      </c>
      <c r="B52" s="18"/>
      <c r="C52" s="18"/>
      <c r="E52" s="18"/>
      <c r="F52" s="43"/>
      <c r="G52" s="43"/>
      <c r="H52" s="44"/>
      <c r="I52" s="40"/>
      <c r="J52"/>
      <c r="L52" s="121"/>
      <c r="M52" s="47"/>
      <c r="N52" s="22"/>
      <c r="O52" s="47"/>
      <c r="P52" s="18"/>
      <c r="Q52" s="47"/>
    </row>
    <row r="53" spans="1:17">
      <c r="A53" s="30" t="s">
        <v>43</v>
      </c>
      <c r="B53" s="18">
        <v>1102.5</v>
      </c>
      <c r="C53" s="18"/>
      <c r="D53" s="18">
        <v>1009.44</v>
      </c>
      <c r="E53" s="18"/>
      <c r="F53" s="18">
        <f>E53+D53</f>
        <v>1009.44</v>
      </c>
      <c r="G53" s="18">
        <f>I53-F53</f>
        <v>190.55999999999995</v>
      </c>
      <c r="H53" s="19">
        <f>F53/I53</f>
        <v>0.84120000000000006</v>
      </c>
      <c r="I53" s="40">
        <v>1200</v>
      </c>
      <c r="J53"/>
      <c r="L53" s="121"/>
      <c r="M53" s="140">
        <v>1200</v>
      </c>
      <c r="N53" s="22"/>
      <c r="O53" s="140">
        <v>1200</v>
      </c>
      <c r="P53" s="18"/>
      <c r="Q53" s="140">
        <v>1200</v>
      </c>
    </row>
    <row r="54" spans="1:17">
      <c r="A54" s="30" t="s">
        <v>63</v>
      </c>
      <c r="B54" s="18">
        <v>19.82</v>
      </c>
      <c r="C54" s="18"/>
      <c r="D54" s="18">
        <f>657.24-600</f>
        <v>57.240000000000009</v>
      </c>
      <c r="E54" s="18"/>
      <c r="F54" s="18">
        <f>E54+D54</f>
        <v>57.240000000000009</v>
      </c>
      <c r="G54" s="18">
        <f>I54-F54</f>
        <v>-57.240000000000009</v>
      </c>
      <c r="H54" s="19" t="e">
        <f>F54/I54</f>
        <v>#DIV/0!</v>
      </c>
      <c r="I54" s="40"/>
      <c r="J54"/>
      <c r="L54" s="121"/>
      <c r="M54" s="47"/>
      <c r="N54" s="22"/>
      <c r="O54" s="47"/>
      <c r="P54" s="18"/>
      <c r="Q54" s="47"/>
    </row>
    <row r="55" spans="1:17">
      <c r="A55" s="30" t="s">
        <v>23</v>
      </c>
      <c r="B55" s="18">
        <v>139.63999999999999</v>
      </c>
      <c r="C55" s="18"/>
      <c r="D55" s="18">
        <f>1345.15-600</f>
        <v>745.15000000000009</v>
      </c>
      <c r="E55" s="18">
        <v>200</v>
      </c>
      <c r="F55" s="18">
        <f>E55+D55</f>
        <v>945.15000000000009</v>
      </c>
      <c r="G55" s="18">
        <f>I55-F55</f>
        <v>-495.15000000000009</v>
      </c>
      <c r="H55" s="19">
        <f>F55/I55</f>
        <v>2.1003333333333334</v>
      </c>
      <c r="I55" s="40">
        <v>450</v>
      </c>
      <c r="J55"/>
      <c r="L55" s="121"/>
      <c r="M55" s="140">
        <v>750</v>
      </c>
      <c r="N55" s="22"/>
      <c r="O55" s="140">
        <v>550</v>
      </c>
      <c r="P55" s="18"/>
      <c r="Q55" s="140">
        <v>550</v>
      </c>
    </row>
    <row r="56" spans="1:17">
      <c r="A56" s="30" t="s">
        <v>58</v>
      </c>
      <c r="B56" s="18"/>
      <c r="C56" s="18"/>
      <c r="D56" s="18">
        <v>9.99</v>
      </c>
      <c r="E56" s="18"/>
      <c r="F56" s="18"/>
      <c r="G56" s="18"/>
      <c r="H56" s="19"/>
      <c r="I56" s="40"/>
      <c r="J56"/>
      <c r="L56" s="121"/>
      <c r="M56" s="140"/>
      <c r="N56" s="22"/>
      <c r="O56" s="140">
        <v>300</v>
      </c>
      <c r="P56" s="18"/>
      <c r="Q56" s="140">
        <v>300</v>
      </c>
    </row>
    <row r="57" spans="1:17">
      <c r="A57" s="46" t="s">
        <v>64</v>
      </c>
      <c r="B57" s="18"/>
      <c r="C57" s="18"/>
      <c r="E57" s="18"/>
      <c r="F57" s="43"/>
      <c r="G57" s="43"/>
      <c r="H57" s="44"/>
      <c r="I57" s="40"/>
      <c r="J57"/>
      <c r="L57" s="121"/>
      <c r="M57" s="47"/>
      <c r="N57" s="22"/>
      <c r="O57" s="47"/>
      <c r="P57" s="18"/>
      <c r="Q57" s="47"/>
    </row>
    <row r="58" spans="1:17">
      <c r="A58" s="30" t="s">
        <v>23</v>
      </c>
      <c r="B58" s="18">
        <v>175.53</v>
      </c>
      <c r="C58" s="18"/>
      <c r="D58" s="18">
        <f>3080-1100-1395-390</f>
        <v>195</v>
      </c>
      <c r="E58" s="18">
        <v>200</v>
      </c>
      <c r="F58" s="18">
        <f>E58+D58</f>
        <v>395</v>
      </c>
      <c r="G58" s="18">
        <f>I58-F58</f>
        <v>555</v>
      </c>
      <c r="H58" s="19">
        <f>F58/I58</f>
        <v>0.41578947368421054</v>
      </c>
      <c r="I58" s="40">
        <v>950</v>
      </c>
      <c r="J58"/>
      <c r="L58" s="121"/>
      <c r="M58" s="140">
        <v>750</v>
      </c>
      <c r="N58" s="22"/>
      <c r="O58" s="140">
        <v>750</v>
      </c>
      <c r="P58" s="18"/>
      <c r="Q58" s="140">
        <v>750</v>
      </c>
    </row>
    <row r="59" spans="1:17">
      <c r="A59" s="30" t="s">
        <v>57</v>
      </c>
      <c r="B59" s="18">
        <v>417.96</v>
      </c>
      <c r="C59" s="18"/>
      <c r="E59" s="18"/>
      <c r="F59" s="18"/>
      <c r="G59" s="18"/>
      <c r="H59" s="19"/>
      <c r="I59" s="40"/>
      <c r="J59"/>
      <c r="L59" s="121"/>
      <c r="M59" s="47"/>
      <c r="N59" s="22"/>
      <c r="O59" s="47"/>
      <c r="P59" s="18"/>
      <c r="Q59" s="47"/>
    </row>
    <row r="60" spans="1:17">
      <c r="A60" s="30" t="s">
        <v>65</v>
      </c>
      <c r="B60" s="18">
        <v>52.07</v>
      </c>
      <c r="C60" s="18"/>
      <c r="D60" s="18">
        <v>42.82</v>
      </c>
      <c r="E60" s="18">
        <f>D60/7*5</f>
        <v>30.585714285714289</v>
      </c>
      <c r="F60" s="18">
        <f>E60+D60</f>
        <v>73.405714285714282</v>
      </c>
      <c r="G60" s="18">
        <f>I60-F60</f>
        <v>6.5942857142857179</v>
      </c>
      <c r="H60" s="19">
        <f>F60/I60</f>
        <v>0.91757142857142848</v>
      </c>
      <c r="I60" s="40">
        <v>80</v>
      </c>
      <c r="J60"/>
      <c r="L60" s="121"/>
      <c r="M60" s="140">
        <v>80</v>
      </c>
      <c r="N60" s="22"/>
      <c r="O60" s="140">
        <v>90</v>
      </c>
      <c r="P60" s="18"/>
      <c r="Q60" s="140">
        <v>90</v>
      </c>
    </row>
    <row r="61" spans="1:17">
      <c r="A61" s="30" t="s">
        <v>58</v>
      </c>
      <c r="B61" s="18"/>
      <c r="C61" s="18"/>
      <c r="E61" s="18"/>
      <c r="F61" s="18">
        <f>E61+D61</f>
        <v>0</v>
      </c>
      <c r="G61" s="18">
        <f>I61-F61</f>
        <v>550</v>
      </c>
      <c r="H61" s="19">
        <f>F61/I61</f>
        <v>0</v>
      </c>
      <c r="I61" s="40">
        <v>550</v>
      </c>
      <c r="J61"/>
      <c r="L61" s="121"/>
      <c r="M61" s="140">
        <v>500</v>
      </c>
      <c r="N61" s="22"/>
      <c r="O61" s="140">
        <v>500</v>
      </c>
      <c r="P61" s="18"/>
      <c r="Q61" s="140">
        <v>500</v>
      </c>
    </row>
    <row r="62" spans="1:17">
      <c r="A62" s="46" t="s">
        <v>66</v>
      </c>
      <c r="B62" s="18"/>
      <c r="C62" s="18"/>
      <c r="E62" s="18"/>
      <c r="F62" s="43"/>
      <c r="G62" s="43"/>
      <c r="H62" s="44"/>
      <c r="I62" s="40"/>
      <c r="J62"/>
      <c r="L62" s="121"/>
      <c r="M62" s="47"/>
      <c r="N62" s="22"/>
      <c r="O62" s="47"/>
      <c r="P62" s="18"/>
      <c r="Q62" s="47"/>
    </row>
    <row r="63" spans="1:17">
      <c r="A63" s="30" t="s">
        <v>23</v>
      </c>
      <c r="B63" s="18">
        <v>454.24</v>
      </c>
      <c r="C63" s="18"/>
      <c r="D63" s="18">
        <f>9889.2-2500-4000-2690</f>
        <v>699.20000000000073</v>
      </c>
      <c r="E63" s="18">
        <v>400</v>
      </c>
      <c r="F63" s="18">
        <f>E63+D63</f>
        <v>1099.2000000000007</v>
      </c>
      <c r="G63" s="18">
        <f>I63-F63</f>
        <v>2400.7999999999993</v>
      </c>
      <c r="H63" s="19">
        <f>F63/I63</f>
        <v>0.31405714285714309</v>
      </c>
      <c r="I63" s="40">
        <v>3500</v>
      </c>
      <c r="J63"/>
      <c r="L63" s="121"/>
      <c r="M63" s="140">
        <v>3000</v>
      </c>
      <c r="N63" s="22"/>
      <c r="O63" s="140">
        <v>3000</v>
      </c>
      <c r="P63" s="18"/>
      <c r="Q63" s="140">
        <v>3000</v>
      </c>
    </row>
    <row r="64" spans="1:17">
      <c r="A64" s="30" t="s">
        <v>120</v>
      </c>
      <c r="B64" s="18"/>
      <c r="C64" s="18"/>
      <c r="D64" s="18">
        <v>18.05</v>
      </c>
      <c r="E64" s="18"/>
      <c r="F64" s="18"/>
      <c r="G64" s="18"/>
      <c r="H64" s="19"/>
      <c r="I64" s="40"/>
      <c r="J64"/>
      <c r="L64" s="121"/>
      <c r="M64" s="140">
        <v>20</v>
      </c>
      <c r="N64" s="22"/>
      <c r="O64" s="140">
        <v>20</v>
      </c>
      <c r="P64" s="18"/>
      <c r="Q64" s="140">
        <v>25</v>
      </c>
    </row>
    <row r="65" spans="1:19">
      <c r="A65" s="30" t="s">
        <v>58</v>
      </c>
      <c r="B65" s="18"/>
      <c r="C65" s="18"/>
      <c r="D65" s="18">
        <v>60.9</v>
      </c>
      <c r="E65" s="18">
        <v>100</v>
      </c>
      <c r="F65" s="18">
        <f>E65+D65</f>
        <v>160.9</v>
      </c>
      <c r="G65" s="18">
        <f>I65-F65</f>
        <v>339.1</v>
      </c>
      <c r="H65" s="19">
        <f>F65/I65</f>
        <v>0.32180000000000003</v>
      </c>
      <c r="I65" s="40">
        <v>500</v>
      </c>
      <c r="J65"/>
      <c r="L65" s="121"/>
      <c r="M65" s="140">
        <v>500</v>
      </c>
      <c r="N65" s="22"/>
      <c r="O65" s="140">
        <v>500</v>
      </c>
      <c r="P65" s="18"/>
      <c r="Q65" s="140">
        <v>500</v>
      </c>
    </row>
    <row r="66" spans="1:19">
      <c r="A66" s="30" t="s">
        <v>67</v>
      </c>
      <c r="B66" s="18"/>
      <c r="C66" s="18"/>
      <c r="E66" s="18"/>
      <c r="F66" s="18"/>
      <c r="G66" s="18"/>
      <c r="H66" s="19"/>
      <c r="I66" s="40"/>
      <c r="J66"/>
      <c r="L66" s="121"/>
      <c r="M66" s="47"/>
      <c r="N66" s="22"/>
      <c r="O66" s="47"/>
      <c r="P66" s="18"/>
      <c r="Q66" s="47"/>
    </row>
    <row r="67" spans="1:19">
      <c r="A67" s="46" t="s">
        <v>68</v>
      </c>
      <c r="B67" s="18"/>
      <c r="C67" s="18">
        <v>3094.42</v>
      </c>
      <c r="D67" s="18">
        <f>47.79-25+2500</f>
        <v>2522.79</v>
      </c>
      <c r="E67" s="18"/>
      <c r="F67" s="18">
        <f>SUM(D67:E67)</f>
        <v>2522.79</v>
      </c>
      <c r="G67" s="18">
        <f t="shared" ref="G67" si="7">I67-F67</f>
        <v>-2522.79</v>
      </c>
      <c r="H67" s="19"/>
      <c r="I67" s="31"/>
      <c r="J67"/>
      <c r="L67" s="121">
        <v>518.49</v>
      </c>
      <c r="M67" s="32"/>
      <c r="N67" s="22"/>
      <c r="O67" s="32"/>
      <c r="P67" s="18"/>
      <c r="Q67" s="32"/>
    </row>
    <row r="68" spans="1:19">
      <c r="A68" s="46" t="s">
        <v>69</v>
      </c>
      <c r="B68" s="18"/>
      <c r="E68" s="18"/>
      <c r="F68" s="43"/>
      <c r="G68" s="18"/>
      <c r="H68" s="44"/>
      <c r="I68" s="40"/>
      <c r="J68"/>
      <c r="L68" s="121"/>
      <c r="M68" s="47"/>
      <c r="N68" s="22"/>
      <c r="O68" s="47"/>
      <c r="P68" s="18"/>
      <c r="Q68" s="47"/>
    </row>
    <row r="69" spans="1:19">
      <c r="A69" s="30" t="s">
        <v>23</v>
      </c>
      <c r="B69" s="18">
        <v>530</v>
      </c>
      <c r="C69" s="18"/>
      <c r="D69" s="18">
        <f>1348.65-485-367.2-300</f>
        <v>196.4500000000001</v>
      </c>
      <c r="E69" s="18">
        <v>200</v>
      </c>
      <c r="F69" s="18">
        <f>E69+D69</f>
        <v>396.4500000000001</v>
      </c>
      <c r="G69" s="18">
        <f>I69-F69</f>
        <v>103.5499999999999</v>
      </c>
      <c r="H69" s="19">
        <f>F69/I69</f>
        <v>0.79290000000000016</v>
      </c>
      <c r="I69" s="40">
        <v>500</v>
      </c>
      <c r="J69" s="22" t="s">
        <v>70</v>
      </c>
      <c r="L69" s="121"/>
      <c r="M69" s="140">
        <v>500</v>
      </c>
      <c r="N69" s="22"/>
      <c r="O69" s="140">
        <v>500</v>
      </c>
      <c r="P69" s="18"/>
      <c r="Q69" s="140">
        <v>500</v>
      </c>
    </row>
    <row r="70" spans="1:19">
      <c r="A70" s="33" t="s">
        <v>58</v>
      </c>
      <c r="B70" s="34"/>
      <c r="C70" s="34"/>
      <c r="D70" s="34">
        <v>420</v>
      </c>
      <c r="E70" s="34"/>
      <c r="F70" s="34">
        <f>E70+D70</f>
        <v>420</v>
      </c>
      <c r="G70" s="34">
        <f>I70-F70</f>
        <v>80</v>
      </c>
      <c r="H70" s="35">
        <f>F70/I70</f>
        <v>0.84</v>
      </c>
      <c r="I70" s="41">
        <v>500</v>
      </c>
      <c r="J70" s="18">
        <f>SUM(I44:I70)</f>
        <v>9730</v>
      </c>
      <c r="L70" s="123"/>
      <c r="M70" s="141">
        <v>600</v>
      </c>
      <c r="N70" s="22"/>
      <c r="O70" s="141">
        <v>600</v>
      </c>
      <c r="P70" s="18"/>
      <c r="Q70" s="141">
        <v>600</v>
      </c>
    </row>
    <row r="71" spans="1:19">
      <c r="A71" t="s">
        <v>71</v>
      </c>
      <c r="B71" s="18"/>
      <c r="C71" s="18">
        <v>156.09</v>
      </c>
      <c r="E71" s="18"/>
      <c r="F71" s="18">
        <f>SUM(D71:E71)</f>
        <v>0</v>
      </c>
      <c r="G71" s="26">
        <f>I71-F71</f>
        <v>0</v>
      </c>
      <c r="H71" s="19"/>
      <c r="I71" s="20"/>
      <c r="J71"/>
      <c r="L71" s="121">
        <f>C71-D71-E71</f>
        <v>156.09</v>
      </c>
      <c r="M71" s="23"/>
      <c r="N71" s="22"/>
      <c r="O71" s="23"/>
      <c r="P71" s="18"/>
      <c r="Q71" s="23"/>
    </row>
    <row r="72" spans="1:19">
      <c r="A72" t="s">
        <v>72</v>
      </c>
      <c r="B72" s="18"/>
      <c r="C72" s="18">
        <v>0</v>
      </c>
      <c r="E72" s="18"/>
      <c r="F72" s="18"/>
      <c r="G72" s="18"/>
      <c r="H72" s="19"/>
      <c r="I72" s="20"/>
      <c r="J72"/>
      <c r="L72" s="121">
        <v>0</v>
      </c>
      <c r="M72" s="23"/>
      <c r="N72" s="22"/>
      <c r="O72" s="23"/>
      <c r="P72" s="18"/>
      <c r="Q72" s="23"/>
    </row>
    <row r="73" spans="1:19">
      <c r="A73" s="25" t="s">
        <v>73</v>
      </c>
      <c r="B73" s="26"/>
      <c r="C73" s="26"/>
      <c r="D73" s="26"/>
      <c r="E73" s="26"/>
      <c r="F73" s="26"/>
      <c r="G73" s="26"/>
      <c r="H73" s="27"/>
      <c r="I73" s="28"/>
      <c r="J73" s="48"/>
      <c r="L73" s="121"/>
      <c r="M73" s="29"/>
      <c r="N73" s="22"/>
      <c r="O73" s="29"/>
      <c r="P73" s="18"/>
      <c r="Q73" s="29"/>
    </row>
    <row r="74" spans="1:19">
      <c r="A74" s="30" t="s">
        <v>74</v>
      </c>
      <c r="B74" s="18">
        <v>2425.54</v>
      </c>
      <c r="C74" s="18"/>
      <c r="D74" s="18">
        <v>1512.58</v>
      </c>
      <c r="E74" s="18">
        <f>D74/7*5</f>
        <v>1080.4142857142856</v>
      </c>
      <c r="F74" s="18">
        <f>E74+D74</f>
        <v>2592.9942857142855</v>
      </c>
      <c r="G74" s="18">
        <f t="shared" ref="G74:G92" si="8">I74-F74</f>
        <v>-122.99428571428552</v>
      </c>
      <c r="H74" s="19">
        <f t="shared" ref="H74:H90" si="9">F74/I74</f>
        <v>1.0497952573742046</v>
      </c>
      <c r="I74" s="31">
        <v>2470</v>
      </c>
      <c r="J74" s="48"/>
      <c r="L74" s="121"/>
      <c r="M74" s="136">
        <v>2700</v>
      </c>
      <c r="N74" s="22"/>
      <c r="O74" s="136">
        <v>2800</v>
      </c>
      <c r="P74" s="18"/>
      <c r="Q74" s="136">
        <v>2900</v>
      </c>
    </row>
    <row r="75" spans="1:19">
      <c r="A75" s="30" t="s">
        <v>64</v>
      </c>
      <c r="B75" s="18">
        <v>1656.47</v>
      </c>
      <c r="C75" s="18"/>
      <c r="D75" s="18">
        <v>1187.31</v>
      </c>
      <c r="E75" s="18">
        <f t="shared" ref="E75:E80" si="10">D75/7*5</f>
        <v>848.07857142857142</v>
      </c>
      <c r="F75" s="18">
        <f t="shared" ref="F75:F80" si="11">E75+D75</f>
        <v>2035.3885714285714</v>
      </c>
      <c r="G75" s="18">
        <f t="shared" si="8"/>
        <v>-375.38857142857137</v>
      </c>
      <c r="H75" s="19">
        <f t="shared" si="9"/>
        <v>1.2261376936316695</v>
      </c>
      <c r="I75" s="31">
        <v>1660</v>
      </c>
      <c r="J75" s="48"/>
      <c r="L75" s="121"/>
      <c r="M75" s="136">
        <v>2200</v>
      </c>
      <c r="N75" s="22"/>
      <c r="O75" s="136">
        <v>2300</v>
      </c>
      <c r="P75" s="18"/>
      <c r="Q75" s="136">
        <v>2400</v>
      </c>
    </row>
    <row r="76" spans="1:19">
      <c r="A76" s="30" t="s">
        <v>62</v>
      </c>
      <c r="B76" s="18">
        <v>1851.43</v>
      </c>
      <c r="C76" s="18"/>
      <c r="D76" s="18">
        <v>644.62</v>
      </c>
      <c r="E76" s="18">
        <f t="shared" si="10"/>
        <v>460.44285714285712</v>
      </c>
      <c r="F76" s="18">
        <f t="shared" si="11"/>
        <v>1105.0628571428572</v>
      </c>
      <c r="G76" s="18">
        <f t="shared" si="8"/>
        <v>744.93714285714282</v>
      </c>
      <c r="H76" s="19">
        <f t="shared" si="9"/>
        <v>0.59733127413127418</v>
      </c>
      <c r="I76" s="31">
        <v>1850</v>
      </c>
      <c r="J76" s="48"/>
      <c r="L76" s="121"/>
      <c r="M76" s="136">
        <v>1200</v>
      </c>
      <c r="N76" s="22"/>
      <c r="O76" s="136">
        <v>1300</v>
      </c>
      <c r="P76" s="18"/>
      <c r="Q76" s="136">
        <v>1400</v>
      </c>
    </row>
    <row r="77" spans="1:19">
      <c r="A77" s="30" t="s">
        <v>66</v>
      </c>
      <c r="B77" s="18">
        <v>541.65</v>
      </c>
      <c r="C77" s="18"/>
      <c r="D77" s="18">
        <v>335.21</v>
      </c>
      <c r="E77" s="18">
        <f t="shared" si="10"/>
        <v>239.43571428571428</v>
      </c>
      <c r="F77" s="18">
        <f t="shared" si="11"/>
        <v>574.64571428571423</v>
      </c>
      <c r="G77" s="18">
        <f t="shared" si="8"/>
        <v>5.3542857142857656</v>
      </c>
      <c r="H77" s="19">
        <f t="shared" si="9"/>
        <v>0.99076847290640391</v>
      </c>
      <c r="I77" s="31">
        <v>580</v>
      </c>
      <c r="J77" s="48"/>
      <c r="L77" s="121"/>
      <c r="M77" s="136">
        <v>600</v>
      </c>
      <c r="N77" s="22"/>
      <c r="O77" s="136">
        <v>620</v>
      </c>
      <c r="P77" s="18"/>
      <c r="Q77" s="136">
        <v>640</v>
      </c>
    </row>
    <row r="78" spans="1:19">
      <c r="A78" s="30" t="s">
        <v>69</v>
      </c>
      <c r="B78" s="18">
        <v>132.30000000000001</v>
      </c>
      <c r="C78" s="18"/>
      <c r="E78" s="18">
        <f t="shared" si="10"/>
        <v>0</v>
      </c>
      <c r="F78" s="18">
        <f t="shared" si="11"/>
        <v>0</v>
      </c>
      <c r="G78" s="18">
        <f t="shared" si="8"/>
        <v>270</v>
      </c>
      <c r="H78" s="19">
        <f t="shared" si="9"/>
        <v>0</v>
      </c>
      <c r="I78" s="31">
        <v>270</v>
      </c>
      <c r="J78" s="48"/>
      <c r="L78" s="121"/>
      <c r="M78" s="136"/>
      <c r="N78" s="22"/>
      <c r="O78" s="136"/>
      <c r="P78" s="18"/>
      <c r="Q78" s="136"/>
    </row>
    <row r="79" spans="1:19">
      <c r="A79" s="30" t="s">
        <v>75</v>
      </c>
      <c r="B79" s="43">
        <v>295.8</v>
      </c>
      <c r="C79" s="18"/>
      <c r="D79" s="18">
        <v>464.68</v>
      </c>
      <c r="E79" s="18">
        <f t="shared" si="10"/>
        <v>331.91428571428571</v>
      </c>
      <c r="F79" s="18">
        <f t="shared" si="11"/>
        <v>796.59428571428566</v>
      </c>
      <c r="G79" s="18">
        <f>I79-F79</f>
        <v>-456.59428571428566</v>
      </c>
      <c r="H79" s="19">
        <f t="shared" si="9"/>
        <v>2.342924369747899</v>
      </c>
      <c r="I79" s="31">
        <v>340</v>
      </c>
      <c r="J79" s="48"/>
      <c r="L79" s="121"/>
      <c r="M79" s="136">
        <v>900</v>
      </c>
      <c r="N79" s="22"/>
      <c r="O79" s="136">
        <v>1000</v>
      </c>
      <c r="P79" s="18"/>
      <c r="Q79" s="136">
        <v>1100</v>
      </c>
    </row>
    <row r="80" spans="1:19">
      <c r="A80" s="33" t="s">
        <v>76</v>
      </c>
      <c r="B80" s="142">
        <v>295.8</v>
      </c>
      <c r="C80" s="34"/>
      <c r="D80" s="34">
        <v>244.72</v>
      </c>
      <c r="E80" s="34">
        <f t="shared" si="10"/>
        <v>174.8</v>
      </c>
      <c r="F80" s="34">
        <f t="shared" si="11"/>
        <v>419.52</v>
      </c>
      <c r="G80" s="34">
        <f t="shared" si="8"/>
        <v>-79.519999999999982</v>
      </c>
      <c r="H80" s="35">
        <f t="shared" si="9"/>
        <v>1.2338823529411764</v>
      </c>
      <c r="I80" s="36">
        <v>340</v>
      </c>
      <c r="J80" s="48"/>
      <c r="L80" s="121"/>
      <c r="M80" s="137">
        <v>500</v>
      </c>
      <c r="N80" s="22"/>
      <c r="O80" s="137">
        <v>550</v>
      </c>
      <c r="P80" s="18"/>
      <c r="Q80" s="137">
        <v>600</v>
      </c>
      <c r="S80" s="18"/>
    </row>
    <row r="81" spans="1:17">
      <c r="A81" t="s">
        <v>77</v>
      </c>
      <c r="B81" s="18"/>
      <c r="C81" s="18">
        <v>12749.79</v>
      </c>
      <c r="D81" s="18">
        <v>2885</v>
      </c>
      <c r="E81" s="18"/>
      <c r="F81" s="18">
        <f t="shared" ref="F81:F90" si="12">SUM(D81:E81)</f>
        <v>2885</v>
      </c>
      <c r="G81" s="18">
        <f t="shared" si="8"/>
        <v>-2885</v>
      </c>
      <c r="H81" s="19"/>
      <c r="I81" s="20"/>
      <c r="J81" s="18"/>
      <c r="L81" s="121">
        <f>C81-D81-E81</f>
        <v>9864.7900000000009</v>
      </c>
      <c r="M81" s="23"/>
      <c r="N81" s="22"/>
      <c r="O81" s="23"/>
      <c r="P81" s="18"/>
      <c r="Q81" s="23"/>
    </row>
    <row r="82" spans="1:17" s="52" customFormat="1">
      <c r="A82" s="49" t="s">
        <v>64</v>
      </c>
      <c r="B82" s="50">
        <v>-7634</v>
      </c>
      <c r="C82" s="50"/>
      <c r="D82" s="50">
        <v>-6799</v>
      </c>
      <c r="E82" s="50">
        <v>-2000</v>
      </c>
      <c r="F82" s="50">
        <f t="shared" si="12"/>
        <v>-8799</v>
      </c>
      <c r="G82" s="18">
        <f t="shared" si="8"/>
        <v>2799</v>
      </c>
      <c r="H82" s="19">
        <f t="shared" si="9"/>
        <v>1.4664999999999999</v>
      </c>
      <c r="I82" s="51">
        <v>-6000</v>
      </c>
      <c r="J82" s="42"/>
      <c r="L82" s="124"/>
      <c r="M82" s="143">
        <v>-7000</v>
      </c>
      <c r="N82" s="53"/>
      <c r="O82" s="143">
        <v>-7000</v>
      </c>
      <c r="P82" s="50"/>
      <c r="Q82" s="143">
        <v>-7000</v>
      </c>
    </row>
    <row r="83" spans="1:17">
      <c r="A83" t="s">
        <v>78</v>
      </c>
      <c r="B83" s="18"/>
      <c r="C83" s="131">
        <v>45335</v>
      </c>
      <c r="E83" s="18"/>
      <c r="F83" s="18">
        <f t="shared" si="12"/>
        <v>0</v>
      </c>
      <c r="G83" s="18">
        <f t="shared" si="8"/>
        <v>0</v>
      </c>
      <c r="H83" s="19"/>
      <c r="I83" s="20"/>
      <c r="J83"/>
      <c r="L83" s="122">
        <f>C83-D83-E83</f>
        <v>45335</v>
      </c>
      <c r="M83" s="23"/>
      <c r="N83" s="22"/>
      <c r="O83" s="23"/>
      <c r="P83" s="18"/>
      <c r="Q83" s="23"/>
    </row>
    <row r="84" spans="1:17" s="52" customFormat="1">
      <c r="A84" s="49" t="s">
        <v>79</v>
      </c>
      <c r="B84" s="50">
        <v>-806.36</v>
      </c>
      <c r="C84" s="50"/>
      <c r="D84" s="50">
        <f>-28.34-161.57</f>
        <v>-189.91</v>
      </c>
      <c r="E84" s="50">
        <f>(D84/7*5)-600</f>
        <v>-735.65</v>
      </c>
      <c r="F84" s="50">
        <f t="shared" si="12"/>
        <v>-925.56</v>
      </c>
      <c r="G84" s="18">
        <f>I84-F84</f>
        <v>675.56</v>
      </c>
      <c r="H84" s="19">
        <f t="shared" si="9"/>
        <v>3.7022399999999998</v>
      </c>
      <c r="I84" s="51">
        <v>-250</v>
      </c>
      <c r="L84" s="124"/>
      <c r="M84" s="143">
        <v>-250</v>
      </c>
      <c r="N84" s="53"/>
      <c r="O84" s="143">
        <v>-250</v>
      </c>
      <c r="P84" s="50"/>
      <c r="Q84" s="143">
        <v>-250</v>
      </c>
    </row>
    <row r="85" spans="1:17" s="52" customFormat="1">
      <c r="A85" s="49" t="s">
        <v>111</v>
      </c>
      <c r="B85" s="50">
        <v>-200</v>
      </c>
      <c r="C85" s="50"/>
      <c r="D85" s="50"/>
      <c r="E85" s="50"/>
      <c r="F85" s="50"/>
      <c r="G85" s="18"/>
      <c r="H85" s="19"/>
      <c r="I85" s="51"/>
      <c r="L85" s="124"/>
      <c r="M85" s="54"/>
      <c r="N85" s="53"/>
      <c r="O85" s="54"/>
      <c r="P85" s="50"/>
      <c r="Q85" s="54"/>
    </row>
    <row r="86" spans="1:17" s="52" customFormat="1">
      <c r="A86" s="49" t="s">
        <v>118</v>
      </c>
      <c r="B86" s="18"/>
      <c r="C86" s="50"/>
      <c r="D86" s="50">
        <v>-10911.5</v>
      </c>
      <c r="E86" s="50"/>
      <c r="F86" s="50"/>
      <c r="G86" s="18"/>
      <c r="H86" s="19"/>
      <c r="I86" s="51"/>
      <c r="L86" s="124"/>
      <c r="M86" s="54"/>
      <c r="N86" s="53"/>
      <c r="O86" s="54"/>
      <c r="P86" s="50"/>
      <c r="Q86" s="54"/>
    </row>
    <row r="87" spans="1:17" s="52" customFormat="1">
      <c r="A87" s="49" t="s">
        <v>80</v>
      </c>
      <c r="B87" s="50">
        <v>-3270.05</v>
      </c>
      <c r="C87" s="50"/>
      <c r="D87" s="50">
        <v>-3580.7</v>
      </c>
      <c r="E87" s="50"/>
      <c r="F87" s="50">
        <f>SUM(D87:E87)</f>
        <v>-3580.7</v>
      </c>
      <c r="G87" s="18">
        <f t="shared" si="8"/>
        <v>310.69999999999982</v>
      </c>
      <c r="H87" s="19">
        <f t="shared" si="9"/>
        <v>1.0950152905198776</v>
      </c>
      <c r="I87" s="51">
        <v>-3270</v>
      </c>
      <c r="J87" s="42"/>
      <c r="L87" s="124"/>
      <c r="M87" s="143">
        <v>-3600</v>
      </c>
      <c r="N87" s="53"/>
      <c r="O87" s="143">
        <v>-3600</v>
      </c>
      <c r="P87" s="50"/>
      <c r="Q87" s="143">
        <v>-3600</v>
      </c>
    </row>
    <row r="88" spans="1:17" s="52" customFormat="1">
      <c r="A88" s="49" t="s">
        <v>112</v>
      </c>
      <c r="B88" s="50">
        <v>-188.25</v>
      </c>
      <c r="C88" s="50"/>
      <c r="D88" s="50"/>
      <c r="E88" s="50"/>
      <c r="F88" s="50"/>
      <c r="G88" s="18"/>
      <c r="H88" s="19"/>
      <c r="I88" s="51"/>
      <c r="J88" s="42"/>
      <c r="L88" s="124"/>
      <c r="M88" s="54"/>
      <c r="N88" s="53"/>
      <c r="O88" s="54"/>
      <c r="P88" s="50"/>
      <c r="Q88" s="54"/>
    </row>
    <row r="89" spans="1:17" s="52" customFormat="1">
      <c r="A89" s="49" t="s">
        <v>81</v>
      </c>
      <c r="B89" s="50">
        <v>-159.53</v>
      </c>
      <c r="C89" s="50"/>
      <c r="D89" s="50"/>
      <c r="E89" s="50"/>
      <c r="F89" s="50"/>
      <c r="G89" s="18"/>
      <c r="H89" s="19"/>
      <c r="I89" s="51"/>
      <c r="J89" s="42"/>
      <c r="L89" s="124"/>
      <c r="M89" s="54"/>
      <c r="N89" s="53"/>
      <c r="O89" s="54"/>
      <c r="P89" s="50"/>
      <c r="Q89" s="54"/>
    </row>
    <row r="90" spans="1:17" s="52" customFormat="1">
      <c r="A90" s="49" t="s">
        <v>110</v>
      </c>
      <c r="B90" s="50">
        <v>-493.89</v>
      </c>
      <c r="C90" s="50"/>
      <c r="D90" s="50"/>
      <c r="E90" s="50"/>
      <c r="F90" s="50">
        <f t="shared" si="12"/>
        <v>0</v>
      </c>
      <c r="G90" s="18">
        <f t="shared" si="8"/>
        <v>0</v>
      </c>
      <c r="H90" s="19" t="e">
        <f t="shared" si="9"/>
        <v>#DIV/0!</v>
      </c>
      <c r="I90" s="51"/>
      <c r="L90" s="124"/>
      <c r="M90" s="54"/>
      <c r="N90" s="53"/>
      <c r="O90" s="54"/>
      <c r="P90" s="50"/>
      <c r="Q90" s="54"/>
    </row>
    <row r="91" spans="1:17" s="52" customFormat="1">
      <c r="A91" s="49" t="s">
        <v>119</v>
      </c>
      <c r="B91" s="50"/>
      <c r="C91" s="50"/>
      <c r="D91" s="50">
        <v>-781.65</v>
      </c>
      <c r="E91" s="50"/>
      <c r="F91" s="50">
        <f t="shared" ref="F91" si="13">SUM(D91:E91)</f>
        <v>-781.65</v>
      </c>
      <c r="G91" s="18">
        <f t="shared" ref="G91" si="14">I91-F91</f>
        <v>781.65</v>
      </c>
      <c r="H91" s="19" t="e">
        <f t="shared" ref="H91" si="15">F91/I91</f>
        <v>#DIV/0!</v>
      </c>
      <c r="I91" s="51"/>
      <c r="L91" s="124"/>
      <c r="M91" s="54"/>
      <c r="N91" s="53"/>
      <c r="O91" s="54"/>
      <c r="P91" s="50"/>
      <c r="Q91" s="54"/>
    </row>
    <row r="92" spans="1:17">
      <c r="A92" s="25" t="s">
        <v>82</v>
      </c>
      <c r="B92" s="26"/>
      <c r="C92" s="26">
        <v>455763.3</v>
      </c>
      <c r="D92" s="26"/>
      <c r="E92" s="26">
        <v>455763.3</v>
      </c>
      <c r="F92" s="26">
        <f>SUM(D92:E92)</f>
        <v>455763.3</v>
      </c>
      <c r="G92" s="26">
        <f t="shared" si="8"/>
        <v>-455763.3</v>
      </c>
      <c r="H92" s="27"/>
      <c r="I92" s="55"/>
      <c r="J92"/>
      <c r="L92" s="121">
        <f>C92-D92-E92</f>
        <v>0</v>
      </c>
      <c r="M92" s="56"/>
      <c r="N92" s="57"/>
      <c r="O92" s="56"/>
      <c r="P92" s="58"/>
      <c r="Q92" s="56"/>
    </row>
    <row r="93" spans="1:17">
      <c r="A93" s="59" t="s">
        <v>83</v>
      </c>
      <c r="B93" s="18">
        <v>-613795.68000000005</v>
      </c>
      <c r="C93" s="18"/>
      <c r="D93" s="18">
        <v>-66500</v>
      </c>
      <c r="E93" s="18">
        <v>-994858.1</v>
      </c>
      <c r="F93" s="18"/>
      <c r="G93" s="18"/>
      <c r="H93" s="19"/>
      <c r="I93" s="60"/>
      <c r="J93"/>
      <c r="L93" s="121"/>
      <c r="M93" s="56"/>
      <c r="N93" s="57"/>
      <c r="O93" s="56"/>
      <c r="P93" s="58"/>
      <c r="Q93" s="56"/>
    </row>
    <row r="94" spans="1:17" s="65" customFormat="1">
      <c r="A94" s="61" t="s">
        <v>84</v>
      </c>
      <c r="B94" s="62">
        <v>158103.20000000001</v>
      </c>
      <c r="C94" s="62"/>
      <c r="D94" s="62">
        <v>114583.93</v>
      </c>
      <c r="E94" s="62">
        <v>880274.17</v>
      </c>
      <c r="F94" s="62"/>
      <c r="G94" s="62"/>
      <c r="H94" s="63"/>
      <c r="I94" s="64"/>
      <c r="L94" s="125"/>
      <c r="M94" s="66"/>
      <c r="N94" s="67"/>
      <c r="O94" s="66"/>
      <c r="P94" s="68"/>
      <c r="Q94" s="66"/>
    </row>
    <row r="95" spans="1:17" s="65" customFormat="1">
      <c r="A95" s="130" t="s">
        <v>109</v>
      </c>
      <c r="B95" s="69"/>
      <c r="C95" s="69">
        <v>31978.41</v>
      </c>
      <c r="D95" s="69"/>
      <c r="E95" s="69"/>
      <c r="F95" s="69"/>
      <c r="G95" s="69"/>
      <c r="H95" s="70"/>
      <c r="I95" s="71"/>
      <c r="L95" s="121">
        <f>C95-D95-E95</f>
        <v>31978.41</v>
      </c>
      <c r="M95" s="66"/>
      <c r="N95" s="67"/>
      <c r="O95" s="66"/>
      <c r="P95" s="68"/>
      <c r="Q95" s="66"/>
    </row>
    <row r="96" spans="1:17" s="65" customFormat="1">
      <c r="A96" s="130" t="s">
        <v>108</v>
      </c>
      <c r="B96" s="69"/>
      <c r="C96" s="69">
        <v>33353.620000000003</v>
      </c>
      <c r="D96" s="69"/>
      <c r="E96" s="69"/>
      <c r="F96" s="69"/>
      <c r="G96" s="69"/>
      <c r="H96" s="70"/>
      <c r="I96" s="71"/>
      <c r="L96" s="121">
        <f>C96-D96-E96</f>
        <v>33353.620000000003</v>
      </c>
      <c r="M96" s="66"/>
      <c r="N96" s="67"/>
      <c r="O96" s="66"/>
      <c r="P96" s="68"/>
      <c r="Q96" s="66"/>
    </row>
    <row r="97" spans="1:17" s="65" customFormat="1">
      <c r="A97" s="49" t="s">
        <v>85</v>
      </c>
      <c r="B97" s="69">
        <v>-65332.03</v>
      </c>
      <c r="C97" s="69"/>
      <c r="D97" s="69">
        <f>-9139.45</f>
        <v>-9139.4500000000007</v>
      </c>
      <c r="E97" s="69"/>
      <c r="F97" s="69"/>
      <c r="G97" s="69"/>
      <c r="H97" s="70"/>
      <c r="I97" s="71"/>
      <c r="L97" s="125"/>
      <c r="M97" s="66"/>
      <c r="N97" s="67"/>
      <c r="O97" s="66"/>
      <c r="P97" s="68"/>
      <c r="Q97" s="66"/>
    </row>
    <row r="98" spans="1:17" s="65" customFormat="1">
      <c r="A98" s="49" t="s">
        <v>117</v>
      </c>
      <c r="B98" s="69">
        <v>-65332.03</v>
      </c>
      <c r="C98" s="69"/>
      <c r="D98" s="69">
        <f>-100825.48-39819.06</f>
        <v>-140644.53999999998</v>
      </c>
      <c r="E98" s="69"/>
      <c r="F98" s="69"/>
      <c r="G98" s="69"/>
      <c r="H98" s="70"/>
      <c r="I98" s="71"/>
      <c r="L98" s="125"/>
      <c r="M98" s="66"/>
      <c r="N98" s="67"/>
      <c r="O98" s="66"/>
      <c r="P98" s="68"/>
      <c r="Q98" s="66"/>
    </row>
    <row r="99" spans="1:17" s="65" customFormat="1">
      <c r="A99" s="49" t="s">
        <v>86</v>
      </c>
      <c r="B99" s="69">
        <v>-1750</v>
      </c>
      <c r="C99" s="69"/>
      <c r="D99" s="69"/>
      <c r="E99" s="69"/>
      <c r="F99" s="69"/>
      <c r="G99" s="69"/>
      <c r="H99" s="70"/>
      <c r="I99" s="71"/>
      <c r="L99" s="125"/>
      <c r="M99" s="66"/>
      <c r="N99" s="67"/>
      <c r="O99" s="66"/>
      <c r="P99" s="68"/>
      <c r="Q99" s="66"/>
    </row>
    <row r="100" spans="1:17">
      <c r="A100" t="s">
        <v>87</v>
      </c>
      <c r="B100" s="18">
        <v>15000</v>
      </c>
      <c r="C100" s="18">
        <v>23750</v>
      </c>
      <c r="E100" s="18"/>
      <c r="F100" s="18"/>
      <c r="G100" s="18"/>
      <c r="H100" s="19"/>
      <c r="I100" s="72">
        <v>10000</v>
      </c>
      <c r="J100"/>
      <c r="L100" s="121">
        <f>C100-D100-E100</f>
        <v>23750</v>
      </c>
      <c r="M100" s="135">
        <v>2500</v>
      </c>
      <c r="N100" s="57"/>
      <c r="O100" s="75">
        <v>5000</v>
      </c>
      <c r="P100" s="74"/>
      <c r="Q100" s="75">
        <v>5000</v>
      </c>
    </row>
    <row r="101" spans="1:17">
      <c r="A101" t="s">
        <v>88</v>
      </c>
      <c r="B101" s="18">
        <v>12000</v>
      </c>
      <c r="C101" s="18">
        <v>29670.76</v>
      </c>
      <c r="D101" s="18">
        <v>11177.33</v>
      </c>
      <c r="E101" s="18"/>
      <c r="F101" s="18"/>
      <c r="G101" s="18"/>
      <c r="H101" s="19"/>
      <c r="I101" s="72">
        <v>20000</v>
      </c>
      <c r="J101" s="76" t="s">
        <v>89</v>
      </c>
      <c r="L101" s="121">
        <f>C101-D101-E101</f>
        <v>18493.43</v>
      </c>
      <c r="M101" s="73">
        <v>30000</v>
      </c>
      <c r="N101" s="76"/>
      <c r="O101" s="75">
        <v>30000</v>
      </c>
      <c r="P101" s="74"/>
      <c r="Q101" s="75">
        <v>30000</v>
      </c>
    </row>
    <row r="102" spans="1:17" s="152" customFormat="1">
      <c r="A102" s="152" t="s">
        <v>126</v>
      </c>
      <c r="B102" s="150"/>
      <c r="C102" s="150"/>
      <c r="D102" s="150"/>
      <c r="E102" s="150"/>
      <c r="F102" s="150"/>
      <c r="G102" s="150"/>
      <c r="H102" s="153"/>
      <c r="I102" s="71"/>
      <c r="J102" s="154"/>
      <c r="L102" s="155"/>
      <c r="M102" s="73">
        <v>5000</v>
      </c>
      <c r="N102" s="154"/>
      <c r="O102" s="66"/>
      <c r="P102" s="68"/>
      <c r="Q102" s="66"/>
    </row>
    <row r="103" spans="1:17" ht="15.75">
      <c r="A103" s="77"/>
      <c r="B103" s="50"/>
      <c r="C103" s="50"/>
      <c r="D103" s="78"/>
      <c r="E103" s="78"/>
      <c r="F103" s="78"/>
      <c r="G103" s="78"/>
      <c r="H103" s="79"/>
      <c r="I103" s="80"/>
      <c r="J103" s="81"/>
      <c r="K103" s="52"/>
      <c r="L103" s="126"/>
      <c r="M103" s="82"/>
      <c r="N103" s="83"/>
      <c r="O103" s="82"/>
      <c r="P103" s="78"/>
      <c r="Q103" s="82"/>
    </row>
    <row r="104" spans="1:17" ht="15.75">
      <c r="A104" s="84" t="s">
        <v>6</v>
      </c>
      <c r="B104" s="144"/>
      <c r="C104" s="144"/>
      <c r="D104" s="149"/>
      <c r="E104" s="85"/>
      <c r="F104" s="85"/>
      <c r="G104" s="85"/>
      <c r="H104" s="85"/>
      <c r="I104" s="86"/>
      <c r="J104" s="87"/>
      <c r="K104" s="88"/>
      <c r="L104" s="127"/>
      <c r="M104" s="89"/>
      <c r="N104" s="90"/>
      <c r="O104" s="89"/>
      <c r="P104" s="91"/>
      <c r="Q104" s="89"/>
    </row>
    <row r="105" spans="1:17" ht="24" thickBot="1">
      <c r="A105" s="92" t="s">
        <v>18</v>
      </c>
      <c r="B105" s="93">
        <f t="shared" ref="B105:F105" si="16">SUM(B4:B103)</f>
        <v>-474663.88</v>
      </c>
      <c r="C105" s="18">
        <f t="shared" si="16"/>
        <v>641792.32999999996</v>
      </c>
      <c r="D105" s="93">
        <f t="shared" si="16"/>
        <v>-33685.339999999997</v>
      </c>
      <c r="E105" s="93">
        <f>SUM(E4:E103)</f>
        <v>384633.02428571437</v>
      </c>
      <c r="F105" s="93">
        <f t="shared" si="16"/>
        <v>566782.05428571429</v>
      </c>
      <c r="G105" s="93">
        <f>SUM(G4:G103)</f>
        <v>-459182.05428571429</v>
      </c>
      <c r="H105" s="94"/>
      <c r="I105" s="95">
        <f>SUM(I4:I103)</f>
        <v>137750</v>
      </c>
      <c r="J105" s="96"/>
      <c r="K105" s="97"/>
      <c r="L105" s="121">
        <f>SUM(L4:L103)</f>
        <v>169390.77</v>
      </c>
      <c r="M105" s="98">
        <f>SUM(M4:M103)</f>
        <v>149880</v>
      </c>
      <c r="O105" s="98">
        <f>SUM(O4:O103)</f>
        <v>157010</v>
      </c>
      <c r="P105" s="93"/>
      <c r="Q105" s="98">
        <f>SUM(Q4:Q103)</f>
        <v>157835</v>
      </c>
    </row>
    <row r="106" spans="1:17" ht="15.75" thickTop="1">
      <c r="A106" s="99"/>
      <c r="B106" s="18"/>
      <c r="E106" s="58"/>
      <c r="F106" s="58"/>
      <c r="G106" s="58"/>
      <c r="H106" s="58"/>
      <c r="I106" s="20">
        <f>I105+I116+I117+I118+I119</f>
        <v>142350</v>
      </c>
      <c r="J106" s="96"/>
      <c r="L106" s="121"/>
      <c r="M106" s="100"/>
      <c r="O106" s="100"/>
      <c r="P106" s="100"/>
      <c r="Q106" s="100"/>
    </row>
    <row r="107" spans="1:17">
      <c r="A107" s="101" t="s">
        <v>90</v>
      </c>
      <c r="B107" s="145"/>
      <c r="C107" s="145"/>
      <c r="D107" s="151">
        <f>SUM(D4:D91)</f>
        <v>56837.389999999992</v>
      </c>
      <c r="E107" s="151">
        <f>SUM(E4:E91)</f>
        <v>43453.654285714292</v>
      </c>
      <c r="F107" s="151">
        <f>SUM(F4:F91)</f>
        <v>111018.75428571428</v>
      </c>
      <c r="G107" s="151">
        <f>SUM(G4:G91)</f>
        <v>-3418.7542857142948</v>
      </c>
      <c r="H107" s="91"/>
      <c r="I107" s="102">
        <f>(I105-125500)/125500</f>
        <v>9.7609561752988044E-2</v>
      </c>
      <c r="J107" s="103"/>
      <c r="K107" s="101"/>
      <c r="L107" s="128"/>
      <c r="M107" s="104">
        <f>(M105-I105)/I105</f>
        <v>8.805807622504537E-2</v>
      </c>
      <c r="N107" s="107" t="s">
        <v>121</v>
      </c>
      <c r="O107" s="104">
        <f>(O105-M105)/M105</f>
        <v>4.7571390445689886E-2</v>
      </c>
      <c r="P107" s="105"/>
      <c r="Q107" s="104">
        <f>(Q105-O105)/O105</f>
        <v>5.2544423922043183E-3</v>
      </c>
    </row>
    <row r="108" spans="1:17">
      <c r="E108" s="58"/>
      <c r="F108" s="58"/>
      <c r="G108" s="58"/>
      <c r="H108" s="58"/>
      <c r="I108" s="106"/>
      <c r="J108" s="57"/>
      <c r="L108" s="121"/>
      <c r="N108" s="107" t="s">
        <v>91</v>
      </c>
    </row>
    <row r="109" spans="1:17">
      <c r="A109" s="101"/>
      <c r="E109" s="58"/>
      <c r="F109" s="58"/>
      <c r="G109" s="58"/>
      <c r="H109" s="128" t="s">
        <v>92</v>
      </c>
      <c r="I109" s="20">
        <f>I105/J120</f>
        <v>81.220518867924525</v>
      </c>
      <c r="L109" s="128" t="s">
        <v>124</v>
      </c>
      <c r="M109" s="18">
        <f>M105/L120</f>
        <v>88.476977567886664</v>
      </c>
      <c r="N109" s="107" t="s">
        <v>93</v>
      </c>
      <c r="O109" s="18">
        <f>O105/N120</f>
        <v>92.685950413223139</v>
      </c>
      <c r="P109" s="18"/>
      <c r="Q109" s="18">
        <f>Q105/N120</f>
        <v>93.172963400236128</v>
      </c>
    </row>
    <row r="110" spans="1:17">
      <c r="A110" s="99"/>
      <c r="E110" s="58"/>
      <c r="F110" s="58"/>
      <c r="G110" s="58"/>
      <c r="I110" s="109">
        <f>(I109-75.97)/75.97</f>
        <v>6.9113056047446705E-2</v>
      </c>
      <c r="L110" s="127" t="s">
        <v>94</v>
      </c>
      <c r="M110" s="110">
        <f>(M109-I109)/I109</f>
        <v>8.9342678440187201E-2</v>
      </c>
      <c r="O110" s="111">
        <f>(O109-M109)/M109</f>
        <v>4.7571390445689817E-2</v>
      </c>
      <c r="P110" s="112"/>
      <c r="Q110" s="111">
        <f>(Q109-O109)/O109</f>
        <v>5.2544423922043365E-3</v>
      </c>
    </row>
    <row r="111" spans="1:17">
      <c r="A111" s="58"/>
      <c r="E111" s="58"/>
      <c r="F111" s="58"/>
      <c r="G111" s="58"/>
      <c r="I111" s="113">
        <f>I109-75.97</f>
        <v>5.2505188679245265</v>
      </c>
      <c r="L111" s="127" t="s">
        <v>96</v>
      </c>
      <c r="M111" s="114">
        <f>M109-I109</f>
        <v>7.2564586999621383</v>
      </c>
      <c r="N111" s="115"/>
      <c r="O111" s="114">
        <f>O109-M109</f>
        <v>4.2089728453364756</v>
      </c>
      <c r="P111" s="114"/>
      <c r="Q111" s="114">
        <f>Q109-O109</f>
        <v>0.48701298701298867</v>
      </c>
    </row>
    <row r="112" spans="1:17">
      <c r="A112" s="58"/>
      <c r="E112" s="58"/>
      <c r="F112" s="58"/>
      <c r="G112" s="58"/>
      <c r="H112" s="116" t="s">
        <v>97</v>
      </c>
      <c r="I112" s="117">
        <f>I111/12</f>
        <v>0.43754323899371056</v>
      </c>
      <c r="J112" s="108" t="s">
        <v>91</v>
      </c>
      <c r="L112" s="127" t="s">
        <v>97</v>
      </c>
      <c r="M112" s="114">
        <f>M111/12</f>
        <v>0.60470489166351149</v>
      </c>
      <c r="O112" s="114">
        <f>O111/12</f>
        <v>0.35074773711137297</v>
      </c>
      <c r="P112" s="114"/>
      <c r="Q112" s="114">
        <f>Q111/12</f>
        <v>4.0584415584415723E-2</v>
      </c>
    </row>
    <row r="113" spans="1:17">
      <c r="A113" s="99"/>
      <c r="E113" s="58"/>
      <c r="F113" s="58"/>
      <c r="G113" s="58"/>
      <c r="H113" s="58"/>
      <c r="J113" s="108" t="s">
        <v>93</v>
      </c>
      <c r="L113" s="121"/>
    </row>
    <row r="114" spans="1:17">
      <c r="A114" t="s">
        <v>98</v>
      </c>
      <c r="B114" s="18"/>
      <c r="E114" s="18"/>
      <c r="F114" s="18"/>
      <c r="G114" s="18"/>
      <c r="H114" s="19"/>
      <c r="I114" s="20"/>
      <c r="J114" s="108" t="s">
        <v>95</v>
      </c>
      <c r="L114" s="121"/>
      <c r="M114" s="18"/>
      <c r="N114" s="22"/>
      <c r="O114" s="18"/>
      <c r="P114" s="18"/>
      <c r="Q114" s="18"/>
    </row>
    <row r="115" spans="1:17">
      <c r="A115" s="24" t="s">
        <v>99</v>
      </c>
      <c r="B115" s="18"/>
      <c r="C115" s="18">
        <v>8844.7099999999991</v>
      </c>
      <c r="E115" s="18"/>
      <c r="F115" s="18"/>
      <c r="G115" s="18"/>
      <c r="H115" s="19"/>
      <c r="I115" s="20"/>
      <c r="J115"/>
      <c r="L115" s="121">
        <f>C115+SUM(D116:E119)</f>
        <v>9665.9885714285701</v>
      </c>
      <c r="M115" s="18"/>
      <c r="N115" s="22"/>
      <c r="O115" s="18"/>
      <c r="P115" s="18"/>
      <c r="Q115" s="18"/>
    </row>
    <row r="116" spans="1:17">
      <c r="A116" s="24" t="s">
        <v>100</v>
      </c>
      <c r="B116" s="18">
        <v>786.93</v>
      </c>
      <c r="C116" s="18"/>
      <c r="D116" s="18">
        <v>635.27</v>
      </c>
      <c r="E116" s="18">
        <f>D116/7*5</f>
        <v>453.76428571428568</v>
      </c>
      <c r="F116" s="18">
        <f t="shared" ref="F116:F119" si="17">SUM(D116:E116)</f>
        <v>1089.0342857142857</v>
      </c>
      <c r="G116" s="18">
        <f>I116-F116</f>
        <v>110.96571428571428</v>
      </c>
      <c r="H116" s="19">
        <f>F116/I116</f>
        <v>0.90752857142857146</v>
      </c>
      <c r="I116" s="20">
        <v>1200</v>
      </c>
      <c r="J116"/>
      <c r="L116" s="18"/>
      <c r="M116" s="135">
        <v>1200</v>
      </c>
      <c r="N116" s="22"/>
      <c r="O116" s="135">
        <v>1200</v>
      </c>
      <c r="P116" s="18"/>
      <c r="Q116" s="135">
        <v>1200</v>
      </c>
    </row>
    <row r="117" spans="1:17">
      <c r="A117" s="24" t="s">
        <v>65</v>
      </c>
      <c r="B117" s="18">
        <v>185</v>
      </c>
      <c r="C117" s="18"/>
      <c r="D117" s="18">
        <v>708</v>
      </c>
      <c r="E117" s="18">
        <f>D117/7*5</f>
        <v>505.71428571428567</v>
      </c>
      <c r="F117" s="18">
        <f t="shared" si="17"/>
        <v>1213.7142857142858</v>
      </c>
      <c r="G117" s="18">
        <f>I117-F117</f>
        <v>-713.71428571428578</v>
      </c>
      <c r="H117" s="19">
        <f>F117/I117</f>
        <v>2.4274285714285715</v>
      </c>
      <c r="I117" s="20">
        <v>500</v>
      </c>
      <c r="J117"/>
      <c r="L117" s="18"/>
      <c r="M117" s="135">
        <v>600</v>
      </c>
      <c r="N117" s="22"/>
      <c r="O117" s="135">
        <v>600</v>
      </c>
      <c r="P117" s="18"/>
      <c r="Q117" s="135">
        <v>600</v>
      </c>
    </row>
    <row r="118" spans="1:17">
      <c r="A118" s="24" t="s">
        <v>101</v>
      </c>
      <c r="B118" s="18">
        <f>393.75*2</f>
        <v>787.5</v>
      </c>
      <c r="C118" s="18"/>
      <c r="D118" s="18">
        <v>721.03</v>
      </c>
      <c r="E118" s="18"/>
      <c r="F118" s="18">
        <f t="shared" si="17"/>
        <v>721.03</v>
      </c>
      <c r="G118" s="18">
        <f>I118-F118</f>
        <v>78.970000000000027</v>
      </c>
      <c r="H118" s="19">
        <f>F118/I118</f>
        <v>0.90128750000000002</v>
      </c>
      <c r="I118" s="20">
        <v>800</v>
      </c>
      <c r="J118"/>
      <c r="L118" s="18"/>
      <c r="M118" s="135">
        <v>800</v>
      </c>
      <c r="N118" s="22"/>
      <c r="O118" s="135">
        <v>800</v>
      </c>
      <c r="P118" s="18"/>
      <c r="Q118" s="135">
        <v>800</v>
      </c>
    </row>
    <row r="119" spans="1:17" s="52" customFormat="1">
      <c r="A119" s="49" t="s">
        <v>102</v>
      </c>
      <c r="B119" s="50">
        <v>-2235.33</v>
      </c>
      <c r="C119" s="50"/>
      <c r="D119" s="50">
        <v>-1762.5</v>
      </c>
      <c r="E119" s="50">
        <v>-440</v>
      </c>
      <c r="F119" s="18">
        <f t="shared" si="17"/>
        <v>-2202.5</v>
      </c>
      <c r="G119" s="50">
        <f>I119-F119</f>
        <v>4302.5</v>
      </c>
      <c r="H119" s="119">
        <f>F119/I119</f>
        <v>-1.0488095238095239</v>
      </c>
      <c r="I119" s="51">
        <v>2100</v>
      </c>
      <c r="L119" s="50"/>
      <c r="M119" s="143">
        <v>-2100</v>
      </c>
      <c r="N119" s="53"/>
      <c r="O119" s="143">
        <v>-2400</v>
      </c>
      <c r="P119" s="50"/>
      <c r="Q119" s="143">
        <v>-2400</v>
      </c>
    </row>
    <row r="120" spans="1:17">
      <c r="A120" s="99"/>
      <c r="B120" s="18"/>
      <c r="E120" s="58"/>
      <c r="F120" s="58"/>
      <c r="G120" s="58"/>
      <c r="H120" s="58"/>
      <c r="J120" s="24">
        <v>1696</v>
      </c>
      <c r="L120">
        <v>1694</v>
      </c>
      <c r="M120" s="18">
        <f>SUM(M116:M119)</f>
        <v>500</v>
      </c>
      <c r="N120" s="116">
        <v>1694</v>
      </c>
    </row>
    <row r="121" spans="1:17">
      <c r="A121" s="58"/>
      <c r="B121" s="18">
        <f>SUM(B105:B119)</f>
        <v>-475139.78</v>
      </c>
      <c r="C121" s="18">
        <f>SUM(C105:C119)</f>
        <v>650637.03999999992</v>
      </c>
      <c r="E121" s="58"/>
      <c r="F121" s="58"/>
      <c r="G121" s="58"/>
      <c r="H121" s="58"/>
      <c r="I121" s="20"/>
      <c r="M121" s="18"/>
      <c r="O121" s="18"/>
    </row>
    <row r="122" spans="1:17">
      <c r="A122" s="120"/>
      <c r="B122" s="18"/>
      <c r="C122" s="18">
        <f>C121-C83</f>
        <v>605302.03999999992</v>
      </c>
      <c r="E122" s="58"/>
      <c r="F122" s="58"/>
      <c r="G122" s="58"/>
      <c r="H122" s="58"/>
      <c r="L122" t="s">
        <v>103</v>
      </c>
      <c r="M122" s="18">
        <f>SUM(M4:M80)+SUM(M100:M101)</f>
        <v>155730</v>
      </c>
    </row>
    <row r="123" spans="1:17">
      <c r="L123" s="118" t="s">
        <v>104</v>
      </c>
      <c r="M123" s="18">
        <f>M87+M84+M82</f>
        <v>-10850</v>
      </c>
    </row>
    <row r="124" spans="1:17">
      <c r="B124" s="18"/>
      <c r="L124" s="118" t="s">
        <v>105</v>
      </c>
      <c r="M124" s="18">
        <f>SUM(M122:M123)</f>
        <v>144880</v>
      </c>
    </row>
    <row r="125" spans="1:17">
      <c r="L125" s="118"/>
    </row>
  </sheetData>
  <mergeCells count="5">
    <mergeCell ref="I45:I48"/>
    <mergeCell ref="F45:F48"/>
    <mergeCell ref="G45:G48"/>
    <mergeCell ref="H45:H48"/>
    <mergeCell ref="H1:H3"/>
  </mergeCells>
  <printOptions gridLines="1"/>
  <pageMargins left="0.23622047244094491" right="0.19685039370078741" top="0.47244094488188981" bottom="0.23622047244094491" header="0.15748031496062992" footer="0.15748031496062992"/>
  <pageSetup paperSize="9" scale="48" fitToHeight="2" orientation="landscape" r:id="rId1"/>
  <headerFooter>
    <oddHeader>&amp;L&amp;18Brundall Parish Council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2023-24</vt:lpstr>
      <vt:lpstr>'Budget 2023-24'!Print_Area</vt:lpstr>
      <vt:lpstr>'Budget 2023-24'!Print_Titles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2022-12-15T09:51:15Z</cp:lastPrinted>
  <dcterms:created xsi:type="dcterms:W3CDTF">2021-12-08T10:26:33Z</dcterms:created>
  <dcterms:modified xsi:type="dcterms:W3CDTF">2022-12-15T16:11:44Z</dcterms:modified>
</cp:coreProperties>
</file>