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e\Accounts and Annual Return 2022-23\"/>
    </mc:Choice>
  </mc:AlternateContent>
  <xr:revisionPtr revIDLastSave="0" documentId="13_ncr:1_{4C395708-5B1F-45A2-8154-87F213255F45}" xr6:coauthVersionLast="47" xr6:coauthVersionMax="47" xr10:uidLastSave="{00000000-0000-0000-0000-000000000000}"/>
  <bookViews>
    <workbookView xWindow="276" yWindow="180" windowWidth="9852" windowHeight="12576" xr2:uid="{00000000-000D-0000-FFFF-FFFF00000000}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9"/>
</workbook>
</file>

<file path=xl/calcChain.xml><?xml version="1.0" encoding="utf-8"?>
<calcChain xmlns="http://schemas.openxmlformats.org/spreadsheetml/2006/main">
  <c r="F22" i="2" l="1"/>
  <c r="E21" i="2"/>
  <c r="E18" i="2"/>
  <c r="J30" i="1"/>
  <c r="I30" i="1"/>
  <c r="H30" i="1"/>
  <c r="K30" i="1" s="1"/>
  <c r="G30" i="1"/>
  <c r="F28" i="1"/>
  <c r="G28" i="1" s="1"/>
  <c r="F23" i="1"/>
  <c r="L24" i="1" s="1"/>
  <c r="D23" i="1"/>
  <c r="M11" i="1" s="1"/>
  <c r="J21" i="1"/>
  <c r="I21" i="1"/>
  <c r="H21" i="1"/>
  <c r="K21" i="1" s="1"/>
  <c r="G21" i="1"/>
  <c r="K19" i="1"/>
  <c r="J19" i="1"/>
  <c r="I19" i="1"/>
  <c r="H19" i="1"/>
  <c r="L19" i="1" s="1"/>
  <c r="M19" i="1" s="1"/>
  <c r="G19" i="1"/>
  <c r="J17" i="1"/>
  <c r="I17" i="1"/>
  <c r="H17" i="1"/>
  <c r="K17" i="1" s="1"/>
  <c r="G17" i="1"/>
  <c r="J15" i="1"/>
  <c r="I15" i="1"/>
  <c r="H15" i="1"/>
  <c r="K15" i="1" s="1"/>
  <c r="G15" i="1"/>
  <c r="J13" i="1"/>
  <c r="I13" i="1"/>
  <c r="H13" i="1"/>
  <c r="K13" i="1" s="1"/>
  <c r="G13" i="1"/>
  <c r="L15" i="1" l="1"/>
  <c r="M15" i="1" s="1"/>
  <c r="L21" i="1"/>
  <c r="M21" i="1" s="1"/>
  <c r="L17" i="1"/>
  <c r="M17" i="1" s="1"/>
  <c r="J28" i="1"/>
  <c r="I28" i="1"/>
  <c r="L13" i="1"/>
  <c r="M13" i="1" s="1"/>
  <c r="H28" i="1"/>
  <c r="L30" i="1"/>
  <c r="M30" i="1" s="1"/>
  <c r="M24" i="1"/>
  <c r="K28" i="1" l="1"/>
  <c r="L28" i="1"/>
  <c r="M28" i="1" s="1"/>
</calcChain>
</file>

<file path=xl/sharedStrings.xml><?xml version="1.0" encoding="utf-8"?>
<sst xmlns="http://schemas.openxmlformats.org/spreadsheetml/2006/main" count="58" uniqueCount="51">
  <si>
    <t xml:space="preserve">Explanation of variances – pro forma </t>
  </si>
  <si>
    <t xml:space="preserve">Name of smaller authority: </t>
  </si>
  <si>
    <t>Brundall Parish Council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</si>
  <si>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</si>
  <si>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Norfolk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</si>
  <si>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</si>
  <si>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</si>
  <si>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2021/22</t>
  </si>
  <si>
    <t>2022/23</t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</si>
  <si>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</si>
  <si>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</si>
  <si>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</si>
  <si>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</si>
  <si>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</si>
  <si>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</si>
  <si>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</si>
  <si>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</si>
  <si>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3 Total Other Receipts</t>
  </si>
  <si>
    <t>4 Staff Costs</t>
  </si>
  <si>
    <t>The deputy clerk was given an additional scale point and the hours increased from 16 to 20 per week. There was also an average wage increase of 5.3%. The employer pension contribution increased from 23.5% to 24%.</t>
  </si>
  <si>
    <t>5 Loan Interest/Capital Repayment</t>
  </si>
  <si>
    <t>6 All Other Payments</t>
  </si>
  <si>
    <t>S106: 2021-22 £158103, 2022-23 £1081219. CIL: 2021-22 £0, 2022-23 £267237. Repairs &amp; Maintenance Land Management: 2021-22 £1267, 2022-23 £2295. Repairs &amp; Maintenance Cemetery: 2021-22 £176, 2022-23 £3286. Repairs &amp; Maintenance Countryside Park: 2021-22 £140, 2022-23 £1545. Repairs &amp; Maintenance Cremer's: 2021-22 £454, 2022-23 £9815. Repairs and Maintenance Church Fen: 2021-22 £530,  2022-23 £1349. Professional fees: 2021-22 £0, 2022-23 £10659. Insurance: 2021-22 £1149, 2022-23 £1759. Audit fees: 2021-22 £537, 2022-23 £1688. Projects: 2021-22 £0, 2122-23 £409. Handyman: 2021-22 £5454, 2022-23 £6000. Play equipment: 2021-22 £0, 2022-23 £4968. Office equipment: 2021-22 £51, 2022-23 £708. Room hire: 2021-22 £572, 2022-23 £1139. Mileage: 2021-22 £301, 2022-23 £409. Training: 2021-22 £60, 2022-23 £295. Bank charges: 2021-22 £59, 2022-23 £169. Stationery: 2021-22 £237, 2022-23 £344. Telephone: 2021-22 £373, 2022-23 £476. Streetlight electricity: 2021-22 £2627, 2022-23 £2848.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</si>
  <si>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</si>
  <si>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</si>
  <si>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</si>
  <si>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</si>
  <si>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Land: addition of a 3G pitch £203,001 and paving to a war memorial £1,395. Buildings: addition of a storage unit £5,000.  Mowers: addition of a 3G pitch tractor £500. Street Furniture: addition of a meter cupboard £500, 3G pitch floodlights £40,000, car park lights £12,000, 3 bins £363, screens for bins £680. Allotments: addition of dip tanks £549. Gates &amp; Fences: addition of 3g pitch fence £75,762, play area gate £180. Sports Equipment: 3g pitch equipment £32,065. Outside Equipment: bench £408, tools £473, pond headwall £2,300, removal of goal posts £600, tools (stolen) £550. Play Equipment: new bouncer £1,300.  Office Equipment: new furniture £167.</t>
  </si>
  <si>
    <t>10 Total Borrowings</t>
  </si>
  <si>
    <t>A loan of CIL expected during the year was taken out in order to facilitate the building of a 3G sports pitch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</si>
  <si>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</si>
  <si>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</si>
  <si>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</si>
  <si>
    <t>Explanation for ‘high’ reserves</t>
  </si>
  <si>
    <t>(Please complete the highlighted boxes.)</t>
  </si>
  <si>
    <t>Box 7 is more than twice Box 2 because the authority held the following breakdown of reserves at the year end:</t>
  </si>
  <si>
    <t>Earmarked reserves:</t>
  </si>
  <si>
    <t>Land Management</t>
  </si>
  <si>
    <t>Asset Management</t>
  </si>
  <si>
    <t>Allotments</t>
  </si>
  <si>
    <t>Cemetery</t>
  </si>
  <si>
    <t>Cremer's Meadow</t>
  </si>
  <si>
    <t>Cable's Donation</t>
  </si>
  <si>
    <t>Warm Spaces Grant NCF</t>
  </si>
  <si>
    <t>Warm Spaces Grant BDC</t>
  </si>
  <si>
    <t>Traffic Management</t>
  </si>
  <si>
    <t>CIL</t>
  </si>
  <si>
    <t>CIL - Berryfields</t>
  </si>
  <si>
    <t>General reserve</t>
  </si>
  <si>
    <t>Total reserves (must agree to Box 7)</t>
  </si>
  <si>
    <t>Interest: 2021-22 £806, 2022-23 £5789. Delegated function grass cutting: 2021-22 £3270, 2022-23 £3581. CIL: 2021-22 £65332, 2022-23 £341660. S106: 2021-22 £613796, 2022-23 £612106. Donations: 2021-22 £494, 2022-23 £25. Grants: 2021-22 £1750, 2022-23 £2600. Allotment rents: 2021-22 £2235, 2022-23 £2193. Cemetery: 2021-22 £7635, 2022-23 £11567. Other: 2021-22 £548 (bank compensation £200, wayleave £188, forestry commission £160), 2022-23 £12268 (legal expenses reimbursement £10911, bench £575, insurance claim £782).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</si>
</sst>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3" fontId="7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9" fillId="0" borderId="0" xfId="0" applyFont="1"/>
    <xf numFmtId="0" fontId="13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3" fontId="7" fillId="4" borderId="2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/>
    <xf numFmtId="0" fontId="4" fillId="0" borderId="1" xfId="0" applyFont="1" applyBorder="1" applyAlignment="1">
      <alignment wrapText="1"/>
    </xf>
    <xf numFmtId="10" fontId="4" fillId="0" borderId="0" xfId="0" applyNumberFormat="1" applyFont="1"/>
    <xf numFmtId="0" fontId="4" fillId="0" borderId="0" xfId="0" applyFont="1" applyAlignment="1">
      <alignment vertical="center"/>
    </xf>
    <xf numFmtId="3" fontId="7" fillId="4" borderId="2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7" fillId="5" borderId="2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wrapText="1"/>
    </xf>
    <xf numFmtId="3" fontId="7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0" fontId="17" fillId="0" borderId="0" xfId="0" applyFont="1"/>
    <xf numFmtId="0" fontId="4" fillId="0" borderId="0" xfId="0" applyFont="1" applyAlignment="1">
      <alignment horizontal="left" vertical="top" wrapText="1"/>
    </xf>
    <xf numFmtId="0" fontId="18" fillId="0" borderId="0" xfId="0" applyFont="1"/>
    <xf numFmtId="164" fontId="1" fillId="0" borderId="0" xfId="1" applyNumberFormat="1" applyFont="1"/>
    <xf numFmtId="164" fontId="2" fillId="0" borderId="0" xfId="1" applyNumberFormat="1" applyFont="1"/>
    <xf numFmtId="0" fontId="2" fillId="0" borderId="0" xfId="0" applyFont="1"/>
    <xf numFmtId="164" fontId="1" fillId="0" borderId="0" xfId="1" applyNumberFormat="1" applyFont="1" applyFill="1"/>
    <xf numFmtId="164" fontId="1" fillId="0" borderId="4" xfId="1" applyNumberFormat="1" applyFont="1" applyBorder="1"/>
    <xf numFmtId="164" fontId="2" fillId="0" borderId="5" xfId="1" applyNumberFormat="1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tabSelected="1" topLeftCell="F1" zoomScale="80" zoomScaleNormal="80" workbookViewId="0">
      <selection activeCell="F16" sqref="F16"/>
    </sheetView>
  </sheetViews>
  <sheetFormatPr defaultColWidth="9.109375" defaultRowHeight="13.8" x14ac:dyDescent="0.25"/>
  <cols>
    <col min="1" max="1" width="10.88671875" style="4" customWidth="1"/>
    <col min="2" max="2" width="9.109375" style="4"/>
    <col min="3" max="3" width="32.5546875" style="4" customWidth="1"/>
    <col min="4" max="4" width="9.109375" style="4"/>
    <col min="5" max="5" width="3.33203125" style="4" customWidth="1"/>
    <col min="6" max="6" width="9.88671875" style="4" bestFit="1" customWidth="1"/>
    <col min="7" max="7" width="11" style="4" bestFit="1" customWidth="1"/>
    <col min="8" max="8" width="9.5546875" style="4" customWidth="1"/>
    <col min="9" max="11" width="9.109375" style="4" hidden="1" customWidth="1"/>
    <col min="12" max="12" width="13.33203125" style="4" customWidth="1"/>
    <col min="13" max="13" width="50.44140625" style="3" bestFit="1" customWidth="1"/>
    <col min="14" max="14" width="86" style="4" bestFit="1" customWidth="1"/>
    <col min="15" max="16384" width="9.109375" style="4"/>
  </cols>
  <sheetData>
    <row r="1" spans="1:14" ht="17.399999999999999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</row>
    <row r="2" spans="1:14" ht="15.6" x14ac:dyDescent="0.25">
      <c r="A2" s="5" t="s">
        <v>1</v>
      </c>
      <c r="B2" s="1"/>
      <c r="C2" s="6" t="s">
        <v>2</v>
      </c>
      <c r="D2" s="1"/>
      <c r="E2" s="1"/>
      <c r="F2" s="1"/>
      <c r="G2" s="1"/>
      <c r="H2" s="1"/>
      <c r="I2" s="1"/>
      <c r="J2" s="1"/>
      <c r="K2" s="1"/>
      <c r="L2" s="2"/>
    </row>
    <row r="3" spans="1:14" ht="14.25" customHeight="1" x14ac:dyDescent="0.25">
      <c r="A3" s="5" t="s">
        <v>3</v>
      </c>
      <c r="C3" s="7" t="s">
        <v>4</v>
      </c>
      <c r="L3" s="2"/>
    </row>
    <row r="4" spans="1:14" x14ac:dyDescent="0.25">
      <c r="A4" s="8" t="s">
        <v>5</v>
      </c>
    </row>
    <row r="5" spans="1:14" ht="99" customHeight="1" x14ac:dyDescent="0.25">
      <c r="A5" s="44" t="s">
        <v>6</v>
      </c>
      <c r="B5" s="45"/>
      <c r="C5" s="45"/>
      <c r="D5" s="45"/>
      <c r="E5" s="45"/>
      <c r="F5" s="45"/>
      <c r="G5" s="45"/>
      <c r="H5" s="45"/>
    </row>
    <row r="6" spans="1:14" x14ac:dyDescent="0.25">
      <c r="A6" s="9"/>
    </row>
    <row r="7" spans="1:14" x14ac:dyDescent="0.25">
      <c r="A7" s="9"/>
      <c r="D7" s="10"/>
      <c r="F7" s="10"/>
      <c r="N7" s="11"/>
    </row>
    <row r="8" spans="1:14" ht="27.6" x14ac:dyDescent="0.25">
      <c r="D8" s="12" t="s">
        <v>7</v>
      </c>
      <c r="E8" s="11"/>
      <c r="F8" s="12" t="s">
        <v>8</v>
      </c>
      <c r="G8" s="12" t="s">
        <v>9</v>
      </c>
      <c r="H8" s="12" t="s">
        <v>9</v>
      </c>
      <c r="I8" s="12"/>
      <c r="J8" s="12"/>
      <c r="K8" s="12"/>
      <c r="L8" s="13" t="s">
        <v>10</v>
      </c>
      <c r="M8" s="14" t="s">
        <v>11</v>
      </c>
      <c r="N8" s="15" t="s">
        <v>12</v>
      </c>
    </row>
    <row r="9" spans="1:14" x14ac:dyDescent="0.25">
      <c r="D9" s="12" t="s">
        <v>13</v>
      </c>
      <c r="E9" s="11"/>
      <c r="F9" s="12" t="s">
        <v>13</v>
      </c>
      <c r="G9" s="12" t="s">
        <v>13</v>
      </c>
      <c r="H9" s="12" t="s">
        <v>14</v>
      </c>
      <c r="I9" s="12"/>
      <c r="J9" s="12"/>
      <c r="K9" s="11"/>
      <c r="L9" s="11"/>
      <c r="N9" s="3"/>
    </row>
    <row r="10" spans="1:14" ht="14.4" thickBot="1" x14ac:dyDescent="0.3">
      <c r="D10" s="10"/>
      <c r="E10" s="10"/>
      <c r="N10" s="3"/>
    </row>
    <row r="11" spans="1:14" ht="44.25" customHeight="1" thickBot="1" x14ac:dyDescent="0.3">
      <c r="A11" s="43" t="s">
        <v>15</v>
      </c>
      <c r="B11" s="43"/>
      <c r="C11" s="43"/>
      <c r="D11" s="16">
        <v>88350</v>
      </c>
      <c r="F11" s="16">
        <v>650637</v>
      </c>
      <c r="G11" s="17"/>
      <c r="M11" s="14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8"/>
    </row>
    <row r="12" spans="1:14" ht="14.4" thickBot="1" x14ac:dyDescent="0.3">
      <c r="D12" s="17"/>
      <c r="F12" s="17"/>
      <c r="N12" s="3"/>
    </row>
    <row r="13" spans="1:14" ht="31.5" customHeight="1" thickBot="1" x14ac:dyDescent="0.3">
      <c r="A13" s="46" t="s">
        <v>16</v>
      </c>
      <c r="B13" s="47"/>
      <c r="C13" s="48"/>
      <c r="D13" s="16">
        <v>125500</v>
      </c>
      <c r="F13" s="16">
        <v>137750</v>
      </c>
      <c r="G13" s="17">
        <f>F13-D13</f>
        <v>12250</v>
      </c>
      <c r="H13" s="19">
        <f>IF((D13&gt;F13),(D13-F13)/D13,IF(D13&lt;F13,-(D13-F13)/D13,IF(D13=F13,0)))</f>
        <v>9.7609561752988044E-2</v>
      </c>
      <c r="I13" s="4">
        <f>IF(D13-F13&lt;200,0,IF(D13-F13&gt;200,1,IF(D13-F13=200,1)))</f>
        <v>0</v>
      </c>
      <c r="J13" s="4">
        <f>IF(F13-D13&lt;200,0,IF(F13-D13&gt;200,1,IF(F13-D13=200,1)))</f>
        <v>1</v>
      </c>
      <c r="K13" s="10">
        <f>IF(H13&lt;0.15,0,IF(H13&gt;0.15,1,IF(H13=0.15,1)))</f>
        <v>0</v>
      </c>
      <c r="L13" s="10" t="str">
        <f>IF((H13&lt;15%)*AND(G13&lt;100000)*OR(G13&gt;-100000), "NO","YES")</f>
        <v>NO</v>
      </c>
      <c r="M13" s="14" t="str">
        <f>IF((L13="YES")*AND(I13+J13&lt;1),"Explanation not required, difference less than £200"," ")</f>
        <v xml:space="preserve"> </v>
      </c>
      <c r="N13" s="18"/>
    </row>
    <row r="14" spans="1:14" ht="14.4" thickBot="1" x14ac:dyDescent="0.3">
      <c r="D14" s="17"/>
      <c r="F14" s="17"/>
      <c r="G14" s="17"/>
      <c r="H14" s="19"/>
      <c r="K14" s="10"/>
      <c r="L14" s="10"/>
      <c r="N14" s="3"/>
    </row>
    <row r="15" spans="1:14" s="20" customFormat="1" ht="97.2" thickBot="1" x14ac:dyDescent="0.35">
      <c r="A15" s="41" t="s">
        <v>17</v>
      </c>
      <c r="B15" s="41"/>
      <c r="C15" s="41"/>
      <c r="D15" s="21">
        <v>695865</v>
      </c>
      <c r="F15" s="21">
        <v>991788</v>
      </c>
      <c r="G15" s="22">
        <f>F15-D15</f>
        <v>295923</v>
      </c>
      <c r="H15" s="23">
        <f>IF((D15&gt;F15),(D15-F15)/D15,IF(D15&lt;F15,-(D15-F15)/D15,IF(D15=F15,0)))</f>
        <v>0.4252592097605139</v>
      </c>
      <c r="I15" s="20">
        <f>IF(D15-F15&lt;200,0,IF(D15-F15&gt;200,1,IF(D15-F15=200,1)))</f>
        <v>0</v>
      </c>
      <c r="J15" s="20">
        <f>IF(F15-D15&lt;200,0,IF(F15-D15&gt;200,1,IF(F15-D15=200,1)))</f>
        <v>1</v>
      </c>
      <c r="K15" s="24">
        <f>IF(H15&lt;0.15,0,IF(H15&gt;0.15,1,IF(H15=0.15,1)))</f>
        <v>1</v>
      </c>
      <c r="L15" s="24" t="str">
        <f>IF((H15&lt;15%)*AND(G15&lt;100000)*OR(G15&gt;-100000), "NO","YES")</f>
        <v>YES</v>
      </c>
      <c r="M15" s="25" t="str">
        <f>IF((L15="YES")*AND(I15+J15&lt;1),"Explanation not required, difference less than £200"," ")</f>
        <v xml:space="preserve"> </v>
      </c>
      <c r="N15" s="26" t="s">
        <v>50</v>
      </c>
    </row>
    <row r="16" spans="1:14" ht="14.4" thickBot="1" x14ac:dyDescent="0.3">
      <c r="D16" s="17"/>
      <c r="F16" s="17"/>
      <c r="G16" s="17"/>
      <c r="H16" s="19"/>
      <c r="K16" s="10"/>
      <c r="L16" s="10"/>
      <c r="N16" s="3"/>
    </row>
    <row r="17" spans="1:14" s="20" customFormat="1" ht="43.2" customHeight="1" thickBot="1" x14ac:dyDescent="0.35">
      <c r="A17" s="41" t="s">
        <v>18</v>
      </c>
      <c r="B17" s="41"/>
      <c r="C17" s="41"/>
      <c r="D17" s="21">
        <v>60562</v>
      </c>
      <c r="F17" s="21">
        <v>70036</v>
      </c>
      <c r="G17" s="22">
        <f>F17-D17</f>
        <v>9474</v>
      </c>
      <c r="H17" s="23">
        <f>IF((D17&gt;F17),(D17-F17)/D17,IF(D17&lt;F17,-(D17-F17)/D17,IF(D17=F17,0)))</f>
        <v>0.15643472804729039</v>
      </c>
      <c r="I17" s="20">
        <f>IF(D17-F17&lt;200,0,IF(D17-F17&gt;200,1,IF(D17-F17=200,1)))</f>
        <v>0</v>
      </c>
      <c r="J17" s="20">
        <f>IF(F17-D17&lt;200,0,IF(F17-D17&gt;200,1,IF(F17-D17=200,1)))</f>
        <v>1</v>
      </c>
      <c r="K17" s="24">
        <f>IF(H17&lt;0.15,0,IF(H17&gt;0.15,1,IF(H17=0.15,1)))</f>
        <v>1</v>
      </c>
      <c r="L17" s="24" t="str">
        <f>IF((H17&lt;15%)*AND(G17&lt;100000)*OR(G17&gt;-100000), "NO","YES")</f>
        <v>YES</v>
      </c>
      <c r="M17" s="25" t="str">
        <f>IF((L17="YES")*AND(I17+J17&lt;1),"Explanation not required, difference less than £200"," ")</f>
        <v xml:space="preserve"> </v>
      </c>
      <c r="N17" s="26" t="s">
        <v>19</v>
      </c>
    </row>
    <row r="18" spans="1:14" ht="14.4" thickBot="1" x14ac:dyDescent="0.3">
      <c r="D18" s="17"/>
      <c r="F18" s="17"/>
      <c r="G18" s="17"/>
      <c r="H18" s="19"/>
      <c r="K18" s="10"/>
      <c r="L18" s="10"/>
      <c r="N18" s="3"/>
    </row>
    <row r="19" spans="1:14" ht="20.100000000000001" customHeight="1" thickBot="1" x14ac:dyDescent="0.3">
      <c r="A19" s="41" t="s">
        <v>20</v>
      </c>
      <c r="B19" s="41"/>
      <c r="C19" s="41"/>
      <c r="D19" s="16">
        <v>0</v>
      </c>
      <c r="F19" s="16">
        <v>0</v>
      </c>
      <c r="G19" s="17">
        <f>F19-D19</f>
        <v>0</v>
      </c>
      <c r="H19" s="19">
        <f>IF((D19&gt;F19),(D19-F19)/D19,IF(D19&lt;F19,-(D19-F19)/D19,IF(D19=F19,0)))</f>
        <v>0</v>
      </c>
      <c r="I19" s="4">
        <f>IF(D19-F19&lt;200,0,IF(D19-F19&gt;200,1,IF(D19-F19=200,1)))</f>
        <v>0</v>
      </c>
      <c r="J19" s="4">
        <f>IF(F19-D19&lt;200,0,IF(F19-D19&gt;200,1,IF(F19-D19=200,1)))</f>
        <v>0</v>
      </c>
      <c r="K19" s="10">
        <f>IF(H19&lt;0.15,0,IF(H19&gt;0.15,1,IF(H19=0.15,1)))</f>
        <v>0</v>
      </c>
      <c r="L19" s="10" t="str">
        <f>IF((H19&lt;15%)*AND(G19&lt;100000)*OR(G19&gt;-100000), "NO","YES")</f>
        <v>NO</v>
      </c>
      <c r="M19" s="14" t="str">
        <f>IF((L19="YES")*AND(I19+J19&lt;1),"Explanation not required, difference less than £200"," ")</f>
        <v xml:space="preserve"> </v>
      </c>
      <c r="N19" s="18"/>
    </row>
    <row r="20" spans="1:14" ht="14.4" thickBot="1" x14ac:dyDescent="0.3">
      <c r="D20" s="17"/>
      <c r="F20" s="17"/>
      <c r="G20" s="17"/>
      <c r="H20" s="19"/>
      <c r="K20" s="10"/>
      <c r="L20" s="10"/>
      <c r="N20" s="3"/>
    </row>
    <row r="21" spans="1:14" s="20" customFormat="1" ht="166.2" thickBot="1" x14ac:dyDescent="0.35">
      <c r="A21" s="41" t="s">
        <v>21</v>
      </c>
      <c r="B21" s="41"/>
      <c r="C21" s="41"/>
      <c r="D21" s="21">
        <v>198516</v>
      </c>
      <c r="F21" s="21">
        <v>1425015</v>
      </c>
      <c r="G21" s="22">
        <f>F21-D21</f>
        <v>1226499</v>
      </c>
      <c r="H21" s="23">
        <f>IF((D21&gt;F21),(D21-F21)/D21,IF(D21&lt;F21,-(D21-F21)/D21,IF(D21=F21,0)))</f>
        <v>6.1783382699631266</v>
      </c>
      <c r="I21" s="20">
        <f>IF(D21-F21&lt;200,0,IF(D21-F21&gt;200,1,IF(D21-F21=200,1)))</f>
        <v>0</v>
      </c>
      <c r="J21" s="20">
        <f>IF(F21-D21&lt;200,0,IF(F21-D21&gt;200,1,IF(F21-D21=200,1)))</f>
        <v>1</v>
      </c>
      <c r="K21" s="24">
        <f>IF(H21&lt;0.15,0,IF(H21&gt;0.15,1,IF(H21=0.15,1)))</f>
        <v>1</v>
      </c>
      <c r="L21" s="24" t="str">
        <f>IF((H21&lt;15%)*AND(G21&lt;100000)*OR(G21&gt;-100000), "NO","YES")</f>
        <v>YES</v>
      </c>
      <c r="M21" s="25" t="str">
        <f>IF((L21="YES")*AND(I21+J21&lt;1),"Explanation not required, difference less than £200"," ")</f>
        <v xml:space="preserve"> </v>
      </c>
      <c r="N21" s="26" t="s">
        <v>22</v>
      </c>
    </row>
    <row r="22" spans="1:14" ht="14.4" thickBot="1" x14ac:dyDescent="0.3">
      <c r="D22" s="17"/>
      <c r="F22" s="17"/>
      <c r="G22" s="17"/>
      <c r="H22" s="19"/>
      <c r="K22" s="10"/>
      <c r="L22" s="10"/>
      <c r="N22" s="3"/>
    </row>
    <row r="23" spans="1:14" ht="20.100000000000001" customHeight="1" thickBot="1" x14ac:dyDescent="0.3">
      <c r="A23" s="20" t="s">
        <v>23</v>
      </c>
      <c r="D23" s="27">
        <f>D11+D13+D15-D17-D19-D21</f>
        <v>650637</v>
      </c>
      <c r="F23" s="27">
        <f>F11+F13+F15-F17-F19-F21</f>
        <v>285124</v>
      </c>
      <c r="G23" s="17"/>
      <c r="H23" s="19"/>
      <c r="K23" s="10"/>
      <c r="L23" s="10"/>
      <c r="M23" s="28" t="s">
        <v>24</v>
      </c>
      <c r="N23" s="3"/>
    </row>
    <row r="24" spans="1:14" ht="55.2" x14ac:dyDescent="0.25">
      <c r="A24" s="20"/>
      <c r="D24" s="29"/>
      <c r="F24" s="29"/>
      <c r="G24" s="17"/>
      <c r="H24" s="19"/>
      <c r="K24" s="10"/>
      <c r="L24" s="30" t="str">
        <f>IF(F23&gt;(2*F13),"YES","NO")</f>
        <v>YES</v>
      </c>
      <c r="M24" s="31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3"/>
    </row>
    <row r="25" spans="1:14" ht="14.4" thickBot="1" x14ac:dyDescent="0.3">
      <c r="D25" s="17"/>
      <c r="F25" s="17"/>
      <c r="G25" s="17"/>
      <c r="H25" s="19"/>
      <c r="K25" s="10"/>
      <c r="L25" s="10"/>
      <c r="N25" s="3"/>
    </row>
    <row r="26" spans="1:14" ht="20.100000000000001" customHeight="1" thickBot="1" x14ac:dyDescent="0.3">
      <c r="A26" s="41" t="s">
        <v>25</v>
      </c>
      <c r="B26" s="41"/>
      <c r="C26" s="41"/>
      <c r="D26" s="16">
        <v>533372</v>
      </c>
      <c r="F26" s="16">
        <v>186485</v>
      </c>
      <c r="G26" s="17"/>
      <c r="H26" s="19"/>
      <c r="K26" s="10"/>
      <c r="L26" s="10"/>
      <c r="M26" s="28" t="s">
        <v>24</v>
      </c>
      <c r="N26" s="3"/>
    </row>
    <row r="27" spans="1:14" ht="14.4" thickBot="1" x14ac:dyDescent="0.3">
      <c r="D27" s="17"/>
      <c r="F27" s="17"/>
      <c r="G27" s="17"/>
      <c r="H27" s="19"/>
      <c r="K27" s="10"/>
      <c r="L27" s="10"/>
      <c r="N27" s="3"/>
    </row>
    <row r="28" spans="1:14" s="20" customFormat="1" ht="111" thickBot="1" x14ac:dyDescent="0.35">
      <c r="A28" s="41" t="s">
        <v>26</v>
      </c>
      <c r="B28" s="41"/>
      <c r="C28" s="41"/>
      <c r="D28" s="21">
        <v>237590</v>
      </c>
      <c r="F28" s="21">
        <f>615432-2349</f>
        <v>613083</v>
      </c>
      <c r="G28" s="22">
        <f>F28-D28</f>
        <v>375493</v>
      </c>
      <c r="H28" s="23">
        <f>IF((D28&gt;F28),(D28-F28)/D28,IF(D28&lt;F28,-(D28-F28)/D28,IF(D28=F28,0)))</f>
        <v>1.5804242602803149</v>
      </c>
      <c r="I28" s="20">
        <f>IF(D28-F28&lt;200,0,IF(D28-F28&gt;200,1,IF(D28-F28=200,1)))</f>
        <v>0</v>
      </c>
      <c r="J28" s="20">
        <f>IF(F28-D28&lt;200,0,IF(F28-D28&gt;200,1,IF(F28-D28=200,1)))</f>
        <v>1</v>
      </c>
      <c r="K28" s="24">
        <f>IF(H28&lt;0.15,0,IF(H28&gt;0.15,1,IF(H28=0.15,1)))</f>
        <v>1</v>
      </c>
      <c r="L28" s="24" t="str">
        <f>IF((H28&lt;15%)*AND(G28&lt;100000)*OR(G28&gt;-100000), "NO","YES")</f>
        <v>YES</v>
      </c>
      <c r="M28" s="25" t="str">
        <f>IF((L28="YES")*AND(I28+J28&lt;1),"Explanation not required, difference less than £200"," ")</f>
        <v xml:space="preserve"> </v>
      </c>
      <c r="N28" s="26" t="s">
        <v>27</v>
      </c>
    </row>
    <row r="29" spans="1:14" ht="14.4" thickBot="1" x14ac:dyDescent="0.3">
      <c r="D29" s="17"/>
      <c r="F29" s="17"/>
      <c r="G29" s="17"/>
      <c r="H29" s="19"/>
      <c r="K29" s="10"/>
      <c r="L29" s="10"/>
      <c r="N29" s="3"/>
    </row>
    <row r="30" spans="1:14" s="20" customFormat="1" ht="28.2" thickBot="1" x14ac:dyDescent="0.35">
      <c r="A30" s="41" t="s">
        <v>28</v>
      </c>
      <c r="B30" s="41"/>
      <c r="C30" s="41"/>
      <c r="D30" s="21">
        <v>0</v>
      </c>
      <c r="F30" s="21">
        <v>191876</v>
      </c>
      <c r="G30" s="22">
        <f>F30-D30</f>
        <v>191876</v>
      </c>
      <c r="H30" s="23" t="e">
        <f>IF((D30&gt;F30),(D30-F30)/D30,IF(D30&lt;F30,-(D30-F30)/D30,IF(D30=F30,0)))</f>
        <v>#DIV/0!</v>
      </c>
      <c r="I30" s="20">
        <f>IF(D30-F30&lt;100,0,IF(D30-F30&gt;100,1,IF(D30-F30=100,1)))</f>
        <v>0</v>
      </c>
      <c r="J30" s="20">
        <f>IF(F30-D30&lt;100,0,IF(F30-D30&gt;100,1,IF(F30-D30=100,1)))</f>
        <v>1</v>
      </c>
      <c r="K30" s="24" t="e">
        <f>IF(H30&lt;0.15,0,IF(H30&gt;0.15,1,IF(H30=0.15,1)))</f>
        <v>#DIV/0!</v>
      </c>
      <c r="L30" s="24" t="e">
        <f>IF((H30&lt;15%)*AND(G30&lt;100000)*OR(G30&gt;-100000), "NO","YES")</f>
        <v>#DIV/0!</v>
      </c>
      <c r="M30" s="25" t="e">
        <f>IF((L30="YES")*AND(I30+J30&lt;1),"Explanation not required, difference less than £200"," ")</f>
        <v>#DIV/0!</v>
      </c>
      <c r="N30" s="26" t="s">
        <v>29</v>
      </c>
    </row>
    <row r="31" spans="1:14" x14ac:dyDescent="0.25">
      <c r="H31" s="19"/>
      <c r="K31" s="10"/>
      <c r="L31" s="10"/>
      <c r="N31" s="3"/>
    </row>
    <row r="32" spans="1:14" x14ac:dyDescent="0.25">
      <c r="C32" s="32" t="s">
        <v>30</v>
      </c>
    </row>
    <row r="33" spans="3:16" ht="15" customHeight="1" x14ac:dyDescent="0.25">
      <c r="O33" s="33"/>
      <c r="P33" s="33"/>
    </row>
    <row r="34" spans="3:16" x14ac:dyDescent="0.25">
      <c r="C34" s="32" t="s">
        <v>31</v>
      </c>
      <c r="N34" s="33"/>
      <c r="O34" s="33"/>
      <c r="P34" s="33"/>
    </row>
    <row r="36" spans="3:16" x14ac:dyDescent="0.25">
      <c r="C36" s="32" t="s">
        <v>32</v>
      </c>
    </row>
  </sheetData>
  <mergeCells count="11">
    <mergeCell ref="A17:C17"/>
    <mergeCell ref="A1:K1"/>
    <mergeCell ref="A5:H5"/>
    <mergeCell ref="A11:C11"/>
    <mergeCell ref="A13:C13"/>
    <mergeCell ref="A15:C15"/>
    <mergeCell ref="A19:C19"/>
    <mergeCell ref="A21:C21"/>
    <mergeCell ref="A26:C26"/>
    <mergeCell ref="A28:C28"/>
    <mergeCell ref="A30:C30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workbookViewId="0">
      <selection activeCell="R11" sqref="R11:S11"/>
    </sheetView>
  </sheetViews>
  <sheetFormatPr defaultRowHeight="14.4" x14ac:dyDescent="0.3"/>
  <cols>
    <col min="3" max="3" width="12.6640625" customWidth="1"/>
    <col min="4" max="4" width="10.5546875" style="35" bestFit="1" customWidth="1"/>
    <col min="5" max="6" width="11.5546875" style="35" bestFit="1" customWidth="1"/>
  </cols>
  <sheetData>
    <row r="1" spans="1:6" ht="15.75" customHeight="1" x14ac:dyDescent="0.35">
      <c r="A1" s="34" t="s">
        <v>33</v>
      </c>
    </row>
    <row r="2" spans="1:6" ht="15.75" customHeight="1" x14ac:dyDescent="0.3">
      <c r="A2" t="s">
        <v>34</v>
      </c>
    </row>
    <row r="3" spans="1:6" x14ac:dyDescent="0.3">
      <c r="A3" t="s">
        <v>35</v>
      </c>
    </row>
    <row r="5" spans="1:6" x14ac:dyDescent="0.3">
      <c r="D5" s="36" t="s">
        <v>13</v>
      </c>
      <c r="E5" s="36" t="s">
        <v>13</v>
      </c>
      <c r="F5" s="36" t="s">
        <v>13</v>
      </c>
    </row>
    <row r="6" spans="1:6" x14ac:dyDescent="0.3">
      <c r="A6" s="37" t="s">
        <v>36</v>
      </c>
    </row>
    <row r="7" spans="1:6" x14ac:dyDescent="0.3">
      <c r="B7" t="s">
        <v>37</v>
      </c>
      <c r="D7" s="38">
        <v>5940.94</v>
      </c>
    </row>
    <row r="8" spans="1:6" ht="15" customHeight="1" x14ac:dyDescent="0.3">
      <c r="B8" t="s">
        <v>38</v>
      </c>
      <c r="D8" s="38">
        <v>48296.75</v>
      </c>
    </row>
    <row r="9" spans="1:6" x14ac:dyDescent="0.3">
      <c r="B9" t="s">
        <v>39</v>
      </c>
      <c r="D9" s="38">
        <v>8922.64</v>
      </c>
    </row>
    <row r="10" spans="1:6" x14ac:dyDescent="0.3">
      <c r="B10" t="s">
        <v>40</v>
      </c>
      <c r="D10" s="38">
        <v>9864.7900000000009</v>
      </c>
    </row>
    <row r="11" spans="1:6" x14ac:dyDescent="0.3">
      <c r="B11" t="s">
        <v>41</v>
      </c>
      <c r="D11" s="38">
        <v>558.45000000000005</v>
      </c>
    </row>
    <row r="12" spans="1:6" x14ac:dyDescent="0.3">
      <c r="B12" t="s">
        <v>42</v>
      </c>
      <c r="D12" s="38">
        <v>123.09</v>
      </c>
    </row>
    <row r="13" spans="1:6" x14ac:dyDescent="0.3">
      <c r="B13" t="s">
        <v>43</v>
      </c>
      <c r="D13" s="38">
        <v>609.54999999999995</v>
      </c>
    </row>
    <row r="14" spans="1:6" x14ac:dyDescent="0.3">
      <c r="B14" t="s">
        <v>44</v>
      </c>
      <c r="D14" s="38">
        <v>536.1</v>
      </c>
    </row>
    <row r="15" spans="1:6" x14ac:dyDescent="0.3">
      <c r="B15" t="s">
        <v>45</v>
      </c>
      <c r="D15" s="38">
        <v>33750</v>
      </c>
    </row>
    <row r="16" spans="1:6" x14ac:dyDescent="0.3">
      <c r="B16" t="s">
        <v>46</v>
      </c>
      <c r="D16" s="38">
        <v>41117.86</v>
      </c>
    </row>
    <row r="17" spans="1:6" x14ac:dyDescent="0.3">
      <c r="B17" t="s">
        <v>47</v>
      </c>
      <c r="D17" s="38">
        <v>85286.94</v>
      </c>
    </row>
    <row r="18" spans="1:6" x14ac:dyDescent="0.3">
      <c r="D18" s="38"/>
      <c r="E18" s="39">
        <f>SUM(D7:D17)</f>
        <v>235007.11</v>
      </c>
    </row>
    <row r="19" spans="1:6" x14ac:dyDescent="0.3">
      <c r="D19" s="38"/>
    </row>
    <row r="20" spans="1:6" x14ac:dyDescent="0.3">
      <c r="A20" s="37" t="s">
        <v>48</v>
      </c>
      <c r="D20" s="38">
        <v>47642</v>
      </c>
    </row>
    <row r="21" spans="1:6" x14ac:dyDescent="0.3">
      <c r="E21" s="39">
        <f>D20</f>
        <v>47642</v>
      </c>
    </row>
    <row r="22" spans="1:6" ht="15" thickBot="1" x14ac:dyDescent="0.35">
      <c r="A22" s="37" t="s">
        <v>49</v>
      </c>
      <c r="F22" s="40">
        <f>E18+E21</f>
        <v>282649.11</v>
      </c>
    </row>
    <row r="23" spans="1:6" ht="15" thickTop="1" x14ac:dyDescent="0.3"/>
  </sheetData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Brundall Deputy</cp:lastModifiedBy>
  <dcterms:created xsi:type="dcterms:W3CDTF">2023-06-01T14:04:17Z</dcterms:created>
  <dcterms:modified xsi:type="dcterms:W3CDTF">2023-06-02T10:18:40Z</dcterms:modified>
</cp:coreProperties>
</file>