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rundallparishcouncil-my.sharepoint.com/personal/clerk_brundall-pc_gov_uk/Documents/Brundall Shared/2 Land Management/Finance/"/>
    </mc:Choice>
  </mc:AlternateContent>
  <xr:revisionPtr revIDLastSave="557" documentId="8_{8FC7B8B7-E057-4A66-9C21-F51A6EF3B45A}" xr6:coauthVersionLast="47" xr6:coauthVersionMax="47" xr10:uidLastSave="{6B7BDCE5-C31C-47C1-92B6-11F97B3D66A0}"/>
  <bookViews>
    <workbookView xWindow="-120" yWindow="-120" windowWidth="29040" windowHeight="15720" activeTab="2" xr2:uid="{2A9CBE55-1D78-4F83-B5FC-527F57BEA871}"/>
  </bookViews>
  <sheets>
    <sheet name="Detailed Income &amp; Expenditure" sheetId="2" r:id="rId1"/>
    <sheet name="EMR adj" sheetId="3" r:id="rId2"/>
    <sheet name="Land Management" sheetId="4" r:id="rId3"/>
    <sheet name="Cremer's Meadow" sheetId="5" r:id="rId4"/>
    <sheet name="Allotments" sheetId="6" r:id="rId5"/>
    <sheet name="Cemetery" sheetId="7" r:id="rId6"/>
  </sheets>
  <definedNames>
    <definedName name="_xlnm.Print_Titles" localSheetId="1">'EMR adj'!$1:$6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4" l="1"/>
  <c r="D69" i="4"/>
  <c r="D68" i="4"/>
  <c r="D65" i="4" s="1"/>
  <c r="C5" i="7"/>
  <c r="E29" i="4"/>
  <c r="E23" i="4"/>
  <c r="B21" i="4"/>
  <c r="E44" i="4"/>
  <c r="E39" i="4"/>
  <c r="E40" i="4"/>
  <c r="E38" i="4"/>
  <c r="B39" i="4"/>
  <c r="B40" i="4"/>
  <c r="B41" i="4"/>
  <c r="B43" i="4"/>
  <c r="B38" i="4"/>
  <c r="C4" i="6"/>
  <c r="C22" i="7"/>
  <c r="C22" i="6"/>
  <c r="G25" i="7"/>
  <c r="G20" i="7"/>
  <c r="C7" i="7" s="1"/>
  <c r="G9" i="7"/>
  <c r="C8" i="7"/>
  <c r="E41" i="4" s="1"/>
  <c r="E42" i="4" s="1"/>
  <c r="E46" i="4" s="1"/>
  <c r="C6" i="7"/>
  <c r="D1" i="7"/>
  <c r="D1" i="6"/>
  <c r="G1" i="5"/>
  <c r="G25" i="6"/>
  <c r="C8" i="6" s="1"/>
  <c r="B42" i="4" s="1"/>
  <c r="B44" i="4" s="1"/>
  <c r="G20" i="6"/>
  <c r="C7" i="6" s="1"/>
  <c r="G9" i="6"/>
  <c r="C6" i="6" s="1"/>
  <c r="G38" i="5"/>
  <c r="G36" i="5"/>
  <c r="F36" i="5"/>
  <c r="E36" i="5"/>
  <c r="G34" i="5"/>
  <c r="F34" i="5"/>
  <c r="E34" i="5"/>
  <c r="C34" i="5"/>
  <c r="H17" i="5"/>
  <c r="H16" i="5"/>
  <c r="H15" i="5"/>
  <c r="H14" i="5"/>
  <c r="H13" i="5"/>
  <c r="H12" i="5"/>
  <c r="H11" i="5"/>
  <c r="H10" i="5"/>
  <c r="H9" i="5"/>
  <c r="H8" i="5"/>
  <c r="D64" i="4"/>
  <c r="D72" i="4" s="1"/>
  <c r="B46" i="4"/>
  <c r="B31" i="4"/>
  <c r="E14" i="4"/>
  <c r="D111" i="3"/>
  <c r="F111" i="3"/>
  <c r="D90" i="3"/>
  <c r="D69" i="3"/>
  <c r="N69" i="3" s="1"/>
  <c r="D68" i="3"/>
  <c r="D52" i="3"/>
  <c r="D50" i="3"/>
  <c r="D46" i="3"/>
  <c r="D36" i="3"/>
  <c r="D35" i="3"/>
  <c r="D29" i="3"/>
  <c r="D31" i="3" s="1"/>
  <c r="D9" i="3"/>
  <c r="P108" i="3"/>
  <c r="F108" i="3"/>
  <c r="F109" i="3" s="1"/>
  <c r="D108" i="3"/>
  <c r="N106" i="3"/>
  <c r="H106" i="3"/>
  <c r="H108" i="3" s="1"/>
  <c r="H109" i="3" s="1"/>
  <c r="P102" i="3"/>
  <c r="F102" i="3"/>
  <c r="F103" i="3" s="1"/>
  <c r="D102" i="3"/>
  <c r="D103" i="3" s="1"/>
  <c r="N100" i="3"/>
  <c r="H100" i="3"/>
  <c r="H102" i="3" s="1"/>
  <c r="H103" i="3" s="1"/>
  <c r="P93" i="3"/>
  <c r="D96" i="3" s="1"/>
  <c r="F93" i="3"/>
  <c r="D93" i="3"/>
  <c r="N91" i="3"/>
  <c r="H91" i="3"/>
  <c r="N90" i="3"/>
  <c r="H90" i="3"/>
  <c r="H93" i="3" s="1"/>
  <c r="H94" i="3" s="1"/>
  <c r="P86" i="3"/>
  <c r="F86" i="3"/>
  <c r="F87" i="3" s="1"/>
  <c r="D86" i="3"/>
  <c r="N84" i="3"/>
  <c r="H84" i="3"/>
  <c r="N83" i="3"/>
  <c r="H83" i="3"/>
  <c r="N82" i="3"/>
  <c r="H82" i="3"/>
  <c r="N81" i="3"/>
  <c r="H81" i="3"/>
  <c r="H86" i="3" s="1"/>
  <c r="H87" i="3" s="1"/>
  <c r="P74" i="3"/>
  <c r="D77" i="3" s="1"/>
  <c r="F74" i="3"/>
  <c r="F75" i="3" s="1"/>
  <c r="D74" i="3"/>
  <c r="N72" i="3"/>
  <c r="H72" i="3"/>
  <c r="N71" i="3"/>
  <c r="H71" i="3"/>
  <c r="N70" i="3"/>
  <c r="H70" i="3"/>
  <c r="H69" i="3"/>
  <c r="N68" i="3"/>
  <c r="H68" i="3"/>
  <c r="N67" i="3"/>
  <c r="H67" i="3"/>
  <c r="P65" i="3"/>
  <c r="F65" i="3"/>
  <c r="D65" i="3"/>
  <c r="N65" i="3" s="1"/>
  <c r="N63" i="3"/>
  <c r="H63" i="3"/>
  <c r="H65" i="3" s="1"/>
  <c r="D59" i="3"/>
  <c r="H59" i="3" s="1"/>
  <c r="F56" i="3"/>
  <c r="F60" i="3" s="1"/>
  <c r="P55" i="3"/>
  <c r="D58" i="3" s="1"/>
  <c r="H58" i="3" s="1"/>
  <c r="F55" i="3"/>
  <c r="D55" i="3"/>
  <c r="N55" i="3" s="1"/>
  <c r="N53" i="3"/>
  <c r="H53" i="3"/>
  <c r="N51" i="3"/>
  <c r="H51" i="3"/>
  <c r="N50" i="3"/>
  <c r="H50" i="3"/>
  <c r="P48" i="3"/>
  <c r="F48" i="3"/>
  <c r="D48" i="3"/>
  <c r="N46" i="3"/>
  <c r="H46" i="3"/>
  <c r="H48" i="3" s="1"/>
  <c r="P38" i="3"/>
  <c r="F38" i="3"/>
  <c r="D38" i="3"/>
  <c r="N38" i="3" s="1"/>
  <c r="N36" i="3"/>
  <c r="H36" i="3"/>
  <c r="N35" i="3"/>
  <c r="H35" i="3"/>
  <c r="N34" i="3"/>
  <c r="H34" i="3"/>
  <c r="N33" i="3"/>
  <c r="H33" i="3"/>
  <c r="P31" i="3"/>
  <c r="D42" i="3" s="1"/>
  <c r="H42" i="3" s="1"/>
  <c r="F31" i="3"/>
  <c r="F39" i="3" s="1"/>
  <c r="F43" i="3" s="1"/>
  <c r="N29" i="3"/>
  <c r="H29" i="3"/>
  <c r="H31" i="3" s="1"/>
  <c r="F22" i="3"/>
  <c r="D22" i="3"/>
  <c r="N20" i="3"/>
  <c r="H20" i="3"/>
  <c r="N19" i="3"/>
  <c r="H19" i="3"/>
  <c r="N18" i="3"/>
  <c r="H18" i="3"/>
  <c r="N17" i="3"/>
  <c r="H17" i="3"/>
  <c r="N16" i="3"/>
  <c r="H16" i="3"/>
  <c r="N15" i="3"/>
  <c r="H15" i="3"/>
  <c r="N14" i="3"/>
  <c r="H14" i="3"/>
  <c r="N13" i="3"/>
  <c r="H13" i="3"/>
  <c r="H22" i="3" s="1"/>
  <c r="P11" i="3"/>
  <c r="F11" i="3"/>
  <c r="D11" i="3"/>
  <c r="N9" i="3"/>
  <c r="H9" i="3"/>
  <c r="N8" i="3"/>
  <c r="H8" i="3"/>
  <c r="H11" i="3" s="1"/>
  <c r="H23" i="3" s="1"/>
  <c r="F118" i="2"/>
  <c r="F115" i="2"/>
  <c r="D118" i="2"/>
  <c r="D117" i="2"/>
  <c r="H117" i="2" s="1"/>
  <c r="D116" i="2"/>
  <c r="H116" i="2" s="1"/>
  <c r="D115" i="2"/>
  <c r="H115" i="2" s="1"/>
  <c r="D113" i="2"/>
  <c r="H111" i="2"/>
  <c r="F111" i="2"/>
  <c r="D111" i="2"/>
  <c r="H118" i="2"/>
  <c r="N111" i="2"/>
  <c r="P108" i="2"/>
  <c r="F108" i="2"/>
  <c r="F109" i="2" s="1"/>
  <c r="D108" i="2"/>
  <c r="N106" i="2"/>
  <c r="H106" i="2"/>
  <c r="H108" i="2" s="1"/>
  <c r="H109" i="2" s="1"/>
  <c r="P102" i="2"/>
  <c r="H102" i="2"/>
  <c r="H103" i="2" s="1"/>
  <c r="F102" i="2"/>
  <c r="F103" i="2" s="1"/>
  <c r="D102" i="2"/>
  <c r="D103" i="2" s="1"/>
  <c r="N100" i="2"/>
  <c r="H100" i="2"/>
  <c r="P93" i="2"/>
  <c r="D96" i="2" s="1"/>
  <c r="F93" i="2"/>
  <c r="D93" i="2"/>
  <c r="N91" i="2"/>
  <c r="H91" i="2"/>
  <c r="N90" i="2"/>
  <c r="H90" i="2"/>
  <c r="H93" i="2" s="1"/>
  <c r="H94" i="2" s="1"/>
  <c r="P86" i="2"/>
  <c r="F86" i="2"/>
  <c r="F87" i="2" s="1"/>
  <c r="D86" i="2"/>
  <c r="N84" i="2"/>
  <c r="H84" i="2"/>
  <c r="N83" i="2"/>
  <c r="H83" i="2"/>
  <c r="N82" i="2"/>
  <c r="H82" i="2"/>
  <c r="N81" i="2"/>
  <c r="H81" i="2"/>
  <c r="H86" i="2" s="1"/>
  <c r="H87" i="2" s="1"/>
  <c r="P74" i="2"/>
  <c r="D77" i="2" s="1"/>
  <c r="F74" i="2"/>
  <c r="F75" i="2" s="1"/>
  <c r="D74" i="2"/>
  <c r="N72" i="2"/>
  <c r="H72" i="2"/>
  <c r="N71" i="2"/>
  <c r="H71" i="2"/>
  <c r="N70" i="2"/>
  <c r="H70" i="2"/>
  <c r="N69" i="2"/>
  <c r="H69" i="2"/>
  <c r="N68" i="2"/>
  <c r="H68" i="2"/>
  <c r="N67" i="2"/>
  <c r="H67" i="2"/>
  <c r="H74" i="2" s="1"/>
  <c r="P65" i="2"/>
  <c r="F65" i="2"/>
  <c r="D65" i="2"/>
  <c r="N65" i="2" s="1"/>
  <c r="N63" i="2"/>
  <c r="H63" i="2"/>
  <c r="H65" i="2" s="1"/>
  <c r="D59" i="2"/>
  <c r="H59" i="2" s="1"/>
  <c r="P55" i="2"/>
  <c r="D58" i="2" s="1"/>
  <c r="H58" i="2" s="1"/>
  <c r="F55" i="2"/>
  <c r="F56" i="2" s="1"/>
  <c r="F60" i="2" s="1"/>
  <c r="D55" i="2"/>
  <c r="N53" i="2"/>
  <c r="H53" i="2"/>
  <c r="N52" i="2"/>
  <c r="H52" i="2"/>
  <c r="N51" i="2"/>
  <c r="H51" i="2"/>
  <c r="N50" i="2"/>
  <c r="H50" i="2"/>
  <c r="H55" i="2" s="1"/>
  <c r="P48" i="2"/>
  <c r="F48" i="2"/>
  <c r="D48" i="2"/>
  <c r="N48" i="2" s="1"/>
  <c r="N46" i="2"/>
  <c r="H46" i="2"/>
  <c r="H48" i="2" s="1"/>
  <c r="H56" i="2" s="1"/>
  <c r="H60" i="2" s="1"/>
  <c r="P38" i="2"/>
  <c r="D41" i="2" s="1"/>
  <c r="H41" i="2" s="1"/>
  <c r="F38" i="2"/>
  <c r="D38" i="2"/>
  <c r="N38" i="2" s="1"/>
  <c r="N36" i="2"/>
  <c r="H36" i="2"/>
  <c r="N35" i="2"/>
  <c r="H35" i="2"/>
  <c r="N34" i="2"/>
  <c r="H34" i="2"/>
  <c r="N33" i="2"/>
  <c r="H33" i="2"/>
  <c r="H38" i="2" s="1"/>
  <c r="P31" i="2"/>
  <c r="D42" i="2" s="1"/>
  <c r="H42" i="2" s="1"/>
  <c r="F31" i="2"/>
  <c r="F39" i="2" s="1"/>
  <c r="F43" i="2" s="1"/>
  <c r="D31" i="2"/>
  <c r="N29" i="2"/>
  <c r="H29" i="2"/>
  <c r="H31" i="2" s="1"/>
  <c r="H39" i="2" s="1"/>
  <c r="H43" i="2" s="1"/>
  <c r="F22" i="2"/>
  <c r="D22" i="2"/>
  <c r="N22" i="2" s="1"/>
  <c r="N20" i="2"/>
  <c r="H20" i="2"/>
  <c r="N19" i="2"/>
  <c r="H19" i="2"/>
  <c r="N18" i="2"/>
  <c r="H18" i="2"/>
  <c r="N17" i="2"/>
  <c r="H17" i="2"/>
  <c r="N16" i="2"/>
  <c r="H16" i="2"/>
  <c r="N15" i="2"/>
  <c r="H15" i="2"/>
  <c r="N14" i="2"/>
  <c r="H14" i="2"/>
  <c r="N13" i="2"/>
  <c r="H13" i="2"/>
  <c r="H22" i="2" s="1"/>
  <c r="P11" i="2"/>
  <c r="D25" i="2" s="1"/>
  <c r="H25" i="2" s="1"/>
  <c r="F11" i="2"/>
  <c r="F23" i="2" s="1"/>
  <c r="F26" i="2" s="1"/>
  <c r="D11" i="2"/>
  <c r="N9" i="2"/>
  <c r="H9" i="2"/>
  <c r="N8" i="2"/>
  <c r="H8" i="2"/>
  <c r="H11" i="2" s="1"/>
  <c r="H23" i="2" s="1"/>
  <c r="H26" i="2" s="1"/>
  <c r="C10" i="7" l="1"/>
  <c r="C14" i="7"/>
  <c r="C23" i="7"/>
  <c r="H34" i="5"/>
  <c r="E31" i="4"/>
  <c r="D25" i="7"/>
  <c r="B48" i="4"/>
  <c r="C10" i="6"/>
  <c r="H74" i="3"/>
  <c r="N52" i="3"/>
  <c r="H52" i="3"/>
  <c r="H55" i="3" s="1"/>
  <c r="H56" i="3" s="1"/>
  <c r="H60" i="3" s="1"/>
  <c r="N48" i="3"/>
  <c r="D56" i="3"/>
  <c r="H38" i="3"/>
  <c r="H39" i="3" s="1"/>
  <c r="D109" i="3"/>
  <c r="N108" i="3"/>
  <c r="D97" i="3"/>
  <c r="H96" i="3"/>
  <c r="F94" i="3"/>
  <c r="F97" i="3"/>
  <c r="N93" i="3"/>
  <c r="D94" i="3"/>
  <c r="D87" i="3"/>
  <c r="N86" i="3"/>
  <c r="H77" i="3"/>
  <c r="F78" i="3"/>
  <c r="N74" i="3"/>
  <c r="D75" i="3"/>
  <c r="D116" i="3"/>
  <c r="H116" i="3" s="1"/>
  <c r="D41" i="3"/>
  <c r="H41" i="3" s="1"/>
  <c r="D39" i="3"/>
  <c r="D43" i="3" s="1"/>
  <c r="N31" i="3"/>
  <c r="D113" i="3"/>
  <c r="N22" i="3"/>
  <c r="D25" i="3"/>
  <c r="H25" i="3" s="1"/>
  <c r="H26" i="3" s="1"/>
  <c r="D117" i="3"/>
  <c r="H117" i="3" s="1"/>
  <c r="F23" i="3"/>
  <c r="F26" i="3" s="1"/>
  <c r="D23" i="3"/>
  <c r="D26" i="3" s="1"/>
  <c r="N11" i="3"/>
  <c r="D60" i="3"/>
  <c r="H113" i="2"/>
  <c r="N113" i="2"/>
  <c r="N108" i="2"/>
  <c r="D109" i="2"/>
  <c r="H96" i="2"/>
  <c r="D97" i="2"/>
  <c r="F97" i="2"/>
  <c r="F94" i="2"/>
  <c r="D94" i="2"/>
  <c r="N93" i="2"/>
  <c r="N86" i="2"/>
  <c r="D87" i="2"/>
  <c r="H77" i="2"/>
  <c r="F78" i="2"/>
  <c r="D75" i="2"/>
  <c r="N74" i="2"/>
  <c r="D56" i="2"/>
  <c r="D60" i="2" s="1"/>
  <c r="N55" i="2"/>
  <c r="N31" i="2"/>
  <c r="D39" i="2"/>
  <c r="D43" i="2" s="1"/>
  <c r="N11" i="2"/>
  <c r="D23" i="2"/>
  <c r="D26" i="2" s="1"/>
  <c r="E32" i="4" l="1"/>
  <c r="E33" i="4" s="1"/>
  <c r="E35" i="4" s="1"/>
  <c r="J34" i="5"/>
  <c r="C14" i="6"/>
  <c r="C23" i="6"/>
  <c r="D25" i="6"/>
  <c r="H97" i="3"/>
  <c r="H43" i="3"/>
  <c r="H113" i="3"/>
  <c r="N113" i="3"/>
  <c r="H111" i="3"/>
  <c r="F115" i="3"/>
  <c r="D115" i="3"/>
  <c r="D118" i="3" s="1"/>
  <c r="N111" i="3"/>
  <c r="D78" i="3"/>
  <c r="H75" i="3"/>
  <c r="H78" i="3" s="1"/>
  <c r="H97" i="2"/>
  <c r="H75" i="2"/>
  <c r="H78" i="2" s="1"/>
  <c r="D78" i="2"/>
  <c r="F118" i="3" l="1"/>
  <c r="H118" i="3" s="1"/>
  <c r="H115" i="3"/>
</calcChain>
</file>

<file path=xl/sharedStrings.xml><?xml version="1.0" encoding="utf-8"?>
<sst xmlns="http://schemas.openxmlformats.org/spreadsheetml/2006/main" count="350" uniqueCount="142">
  <si>
    <t>04/09/2026</t>
  </si>
  <si>
    <t>Brundall Parish Council</t>
  </si>
  <si>
    <t>11:20</t>
  </si>
  <si>
    <t>Detailed Income &amp; Expenditure by Budget Heading 31/08/2026</t>
  </si>
  <si>
    <t>Cost Centre Report</t>
  </si>
  <si>
    <t xml:space="preserve">Actual Year </t>
  </si>
  <si>
    <t xml:space="preserve">Current </t>
  </si>
  <si>
    <t xml:space="preserve"> Variance </t>
  </si>
  <si>
    <t xml:space="preserve">Committed </t>
  </si>
  <si>
    <t xml:space="preserve">Funds </t>
  </si>
  <si>
    <t>% Spent</t>
  </si>
  <si>
    <t xml:space="preserve">Transfer </t>
  </si>
  <si>
    <t>To Date</t>
  </si>
  <si>
    <t xml:space="preserve">Annual </t>
  </si>
  <si>
    <t>Expenditure</t>
  </si>
  <si>
    <t>Available</t>
  </si>
  <si>
    <t>to/from EMR</t>
  </si>
  <si>
    <t>Land Management General</t>
  </si>
  <si>
    <t>Grass - Delegated Function-Inc</t>
  </si>
  <si>
    <t>Other Income</t>
  </si>
  <si>
    <t>Land Management General :- Income</t>
  </si>
  <si>
    <t>Projects</t>
  </si>
  <si>
    <t>Repairs &amp; Maintenance</t>
  </si>
  <si>
    <t>Provision</t>
  </si>
  <si>
    <t>Grass Cutting</t>
  </si>
  <si>
    <t>Grass - Delegated Function-Exp</t>
  </si>
  <si>
    <t>Tree Management</t>
  </si>
  <si>
    <t>(365)</t>
  </si>
  <si>
    <t>Play Equipment (Repairs)</t>
  </si>
  <si>
    <t>Play Equipment inspections</t>
  </si>
  <si>
    <t>Land Management General :- Indirect Expenditure</t>
  </si>
  <si>
    <t>Net Income over Expenditure</t>
  </si>
  <si>
    <t>less Transfer to EMR</t>
  </si>
  <si>
    <t>Movement to/(from) Gen Reserve</t>
  </si>
  <si>
    <t>Cemetery</t>
  </si>
  <si>
    <t>Cemetery Income</t>
  </si>
  <si>
    <t>Cemetery :- Income</t>
  </si>
  <si>
    <t>Water</t>
  </si>
  <si>
    <t>Cemetery :- Indirect Expenditure</t>
  </si>
  <si>
    <t>plus Transfer from EMR</t>
  </si>
  <si>
    <t>Allotments</t>
  </si>
  <si>
    <t>Allotment Rents</t>
  </si>
  <si>
    <t>Allotments :- Income</t>
  </si>
  <si>
    <t>Rent</t>
  </si>
  <si>
    <t>(488)</t>
  </si>
  <si>
    <t>Allotments :- Indirect Expenditure</t>
  </si>
  <si>
    <t>Countryside Park</t>
  </si>
  <si>
    <t>Grants Received</t>
  </si>
  <si>
    <t>Countryside Park :- Income</t>
  </si>
  <si>
    <t>(1,050)</t>
  </si>
  <si>
    <t>(5,188)</t>
  </si>
  <si>
    <t>Countryside Park :- Indirect Expenditure</t>
  </si>
  <si>
    <t>(4,352)</t>
  </si>
  <si>
    <t>Cremer's Meadow</t>
  </si>
  <si>
    <t>Cremer's Meadow :- Indirect Expenditure</t>
  </si>
  <si>
    <t>Net Expenditure</t>
  </si>
  <si>
    <t>Church Fen</t>
  </si>
  <si>
    <t>(2,356)</t>
  </si>
  <si>
    <t>Church Fen :- Indirect Expenditure</t>
  </si>
  <si>
    <t>(493)</t>
  </si>
  <si>
    <t>Memorial Hall</t>
  </si>
  <si>
    <t>(593)</t>
  </si>
  <si>
    <t>Memorial Hall :- Indirect Expenditure</t>
  </si>
  <si>
    <t>Meadow View Play Area</t>
  </si>
  <si>
    <t>Meadow View Play Area :- Indirect Expenditure</t>
  </si>
  <si>
    <t>Grand Totals:- Income</t>
  </si>
  <si>
    <t>Land Management Expenses</t>
  </si>
  <si>
    <t>rent</t>
  </si>
  <si>
    <t>MO supplies</t>
  </si>
  <si>
    <t>Total</t>
  </si>
  <si>
    <t>toilet supplies</t>
  </si>
  <si>
    <t>Brundall Parish Allotments</t>
  </si>
  <si>
    <t>water</t>
  </si>
  <si>
    <t>equipment</t>
  </si>
  <si>
    <t>repairs</t>
  </si>
  <si>
    <t>sundries</t>
  </si>
  <si>
    <t>cesspit</t>
  </si>
  <si>
    <t>Play Equipment</t>
  </si>
  <si>
    <t>Income</t>
  </si>
  <si>
    <t>Deficit / (Surplus)</t>
  </si>
  <si>
    <t>Cremer's</t>
  </si>
  <si>
    <t>Land Management Spending</t>
  </si>
  <si>
    <t>Budget</t>
  </si>
  <si>
    <t>% of budget</t>
  </si>
  <si>
    <t>To note: Allotments and Cemetery are not included in the LM budget and capital expenditure is accounted for separately (see below)</t>
  </si>
  <si>
    <t>Capital/Reserves Expenditure:</t>
  </si>
  <si>
    <t>asset management</t>
  </si>
  <si>
    <t>CF boardwalk repair</t>
  </si>
  <si>
    <t>Asset Mgmt reserve</t>
  </si>
  <si>
    <t>Cremer's reserve</t>
  </si>
  <si>
    <t>Cremer's Meadow 2025-26 Expenditure and Income</t>
  </si>
  <si>
    <t>NWT Grant</t>
  </si>
  <si>
    <t>Cables Donation</t>
  </si>
  <si>
    <t>Donation Other</t>
  </si>
  <si>
    <t>Precept Expenditure</t>
  </si>
  <si>
    <t>Balance b/f</t>
  </si>
  <si>
    <t>Insurance claim</t>
  </si>
  <si>
    <t>Balances remaining</t>
  </si>
  <si>
    <t>Equipment</t>
  </si>
  <si>
    <t>Repairs</t>
  </si>
  <si>
    <t>Sundries</t>
  </si>
  <si>
    <t>Add: income</t>
  </si>
  <si>
    <t>Less: expenditure</t>
  </si>
  <si>
    <t>EMR Current Balance</t>
  </si>
  <si>
    <t>EMR as at 1.4.26</t>
  </si>
  <si>
    <t>Brundall Parish Cemetery</t>
  </si>
  <si>
    <t>MO supplies and padlocks</t>
  </si>
  <si>
    <t>MO litter picking cover</t>
  </si>
  <si>
    <t>MO workwear</t>
  </si>
  <si>
    <t>gloves</t>
  </si>
  <si>
    <t>bolt cutter, hazard tape, wood</t>
  </si>
  <si>
    <t>sweets for Welcome Day</t>
  </si>
  <si>
    <t>shed repair</t>
  </si>
  <si>
    <t>photos, wooden posts</t>
  </si>
  <si>
    <t>Land Drainage consent for ditch work</t>
  </si>
  <si>
    <t>bridge repair</t>
  </si>
  <si>
    <t>herbicide spraying</t>
  </si>
  <si>
    <t>LNR signs</t>
  </si>
  <si>
    <t>plate compactor hire</t>
  </si>
  <si>
    <t>dog waste bin lid</t>
  </si>
  <si>
    <t>shovel, stapler, staples</t>
  </si>
  <si>
    <t>kestrel &amp; owl boxes</t>
  </si>
  <si>
    <t>paper towels for toilet</t>
  </si>
  <si>
    <t>carpenters pencils, hacksaw</t>
  </si>
  <si>
    <t>grit bin Nurseries Avenue</t>
  </si>
  <si>
    <t>drainage rates</t>
  </si>
  <si>
    <t>includes Church Lane Lime tree</t>
  </si>
  <si>
    <t>Notes</t>
  </si>
  <si>
    <t>Church Lane lime tree</t>
  </si>
  <si>
    <t>Beech tree inspection</t>
  </si>
  <si>
    <t>tree survey</t>
  </si>
  <si>
    <t>allotment tree survey &amp; work</t>
  </si>
  <si>
    <t>tree risk assessment</t>
  </si>
  <si>
    <t>CP pond flood risk assessment</t>
  </si>
  <si>
    <t>pond EMR</t>
  </si>
  <si>
    <t>CP pond</t>
  </si>
  <si>
    <t>CP car park resurfacing</t>
  </si>
  <si>
    <t>CF boardwalk remove ends</t>
  </si>
  <si>
    <t>Forrestry Commission grant</t>
  </si>
  <si>
    <t>pond</t>
  </si>
  <si>
    <t>car park resurfacing</t>
  </si>
  <si>
    <t>boardwalk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</si>
</sst>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_ ;[Red]\-#,##0\ "/>
    <numFmt numFmtId="166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/>
    <xf numFmtId="164" fontId="0" fillId="0" borderId="0" xfId="1" applyNumberFormat="1" applyFont="1" applyProtection="1">
      <protection locked="0"/>
    </xf>
    <xf numFmtId="165" fontId="0" fillId="0" borderId="0" xfId="0" applyNumberFormat="1"/>
    <xf numFmtId="165" fontId="1" fillId="0" borderId="0" xfId="0" applyNumberFormat="1" applyFont="1" applyProtection="1">
      <protection locked="0"/>
    </xf>
    <xf numFmtId="165" fontId="0" fillId="0" borderId="0" xfId="0" applyNumberFormat="1" applyProtection="1">
      <protection locked="0"/>
    </xf>
    <xf numFmtId="165" fontId="0" fillId="0" borderId="1" xfId="0" applyNumberFormat="1" applyBorder="1" applyProtection="1">
      <protection locked="0"/>
    </xf>
    <xf numFmtId="165" fontId="1" fillId="0" borderId="0" xfId="0" applyNumberFormat="1" applyFont="1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39" fontId="5" fillId="0" borderId="0" xfId="0" applyNumberFormat="1" applyFont="1"/>
    <xf numFmtId="166" fontId="0" fillId="0" borderId="0" xfId="0" applyNumberFormat="1"/>
    <xf numFmtId="166" fontId="0" fillId="0" borderId="2" xfId="0" applyNumberFormat="1" applyBorder="1"/>
    <xf numFmtId="43" fontId="2" fillId="0" borderId="0" xfId="2" applyFont="1" applyFill="1"/>
    <xf numFmtId="0" fontId="0" fillId="0" borderId="2" xfId="0" applyBorder="1"/>
    <xf numFmtId="4" fontId="0" fillId="0" borderId="0" xfId="0" applyNumberFormat="1"/>
    <xf numFmtId="0" fontId="0" fillId="0" borderId="4" xfId="0" applyBorder="1"/>
    <xf numFmtId="43" fontId="2" fillId="0" borderId="2" xfId="2" applyFont="1" applyFill="1" applyBorder="1"/>
    <xf numFmtId="43" fontId="0" fillId="0" borderId="2" xfId="2" applyFont="1" applyFill="1" applyBorder="1"/>
    <xf numFmtId="166" fontId="4" fillId="0" borderId="0" xfId="0" applyNumberFormat="1" applyFont="1"/>
    <xf numFmtId="39" fontId="0" fillId="0" borderId="0" xfId="0" applyNumberFormat="1"/>
    <xf numFmtId="166" fontId="0" fillId="0" borderId="1" xfId="0" applyNumberFormat="1" applyBorder="1"/>
    <xf numFmtId="43" fontId="2" fillId="0" borderId="1" xfId="2" applyFont="1" applyFill="1" applyBorder="1"/>
    <xf numFmtId="0" fontId="4" fillId="0" borderId="0" xfId="0" applyFont="1"/>
    <xf numFmtId="166" fontId="2" fillId="0" borderId="2" xfId="2" applyNumberFormat="1" applyFont="1" applyFill="1" applyBorder="1"/>
    <xf numFmtId="0" fontId="4" fillId="0" borderId="0" xfId="0" applyFont="1" applyAlignment="1">
      <alignment horizontal="right"/>
    </xf>
    <xf numFmtId="166" fontId="2" fillId="0" borderId="0" xfId="2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43" fontId="0" fillId="0" borderId="0" xfId="2" applyFont="1" applyFill="1"/>
    <xf numFmtId="43" fontId="0" fillId="0" borderId="0" xfId="0" applyNumberFormat="1"/>
    <xf numFmtId="0" fontId="7" fillId="0" borderId="0" xfId="0" applyFont="1" applyAlignment="1">
      <alignment vertical="center"/>
    </xf>
    <xf numFmtId="166" fontId="8" fillId="0" borderId="0" xfId="0" applyNumberFormat="1" applyFont="1"/>
    <xf numFmtId="39" fontId="8" fillId="0" borderId="0" xfId="0" applyNumberFormat="1" applyFont="1"/>
    <xf numFmtId="15" fontId="8" fillId="0" borderId="0" xfId="0" applyNumberFormat="1" applyFont="1"/>
    <xf numFmtId="0" fontId="8" fillId="0" borderId="0" xfId="0" applyFont="1"/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horizontal="center"/>
    </xf>
    <xf numFmtId="39" fontId="3" fillId="0" borderId="0" xfId="0" applyNumberFormat="1" applyFont="1"/>
    <xf numFmtId="39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39" fontId="3" fillId="0" borderId="0" xfId="0" applyNumberFormat="1" applyFont="1" applyAlignment="1">
      <alignment horizontal="right" wrapText="1"/>
    </xf>
    <xf numFmtId="0" fontId="3" fillId="0" borderId="0" xfId="0" applyFont="1"/>
    <xf numFmtId="0" fontId="8" fillId="0" borderId="0" xfId="0" applyFont="1" applyAlignment="1">
      <alignment vertical="center"/>
    </xf>
    <xf numFmtId="39" fontId="8" fillId="0" borderId="0" xfId="0" applyNumberFormat="1" applyFont="1" applyAlignment="1">
      <alignment wrapText="1"/>
    </xf>
    <xf numFmtId="166" fontId="8" fillId="0" borderId="0" xfId="0" applyNumberFormat="1" applyFont="1" applyAlignment="1">
      <alignment wrapText="1"/>
    </xf>
    <xf numFmtId="166" fontId="8" fillId="2" borderId="0" xfId="0" applyNumberFormat="1" applyFont="1" applyFill="1"/>
    <xf numFmtId="4" fontId="9" fillId="0" borderId="0" xfId="0" applyNumberFormat="1" applyFont="1"/>
    <xf numFmtId="39" fontId="8" fillId="0" borderId="2" xfId="0" applyNumberFormat="1" applyFont="1" applyBorder="1"/>
    <xf numFmtId="166" fontId="8" fillId="0" borderId="2" xfId="0" applyNumberFormat="1" applyFont="1" applyBorder="1"/>
    <xf numFmtId="2" fontId="8" fillId="0" borderId="0" xfId="0" applyNumberFormat="1" applyFont="1"/>
    <xf numFmtId="4" fontId="9" fillId="0" borderId="0" xfId="0" applyNumberFormat="1" applyFont="1" applyProtection="1">
      <protection locked="0"/>
    </xf>
    <xf numFmtId="0" fontId="9" fillId="0" borderId="0" xfId="0" applyFont="1" applyAlignment="1" applyProtection="1">
      <alignment vertical="top" wrapText="1"/>
      <protection locked="0"/>
    </xf>
    <xf numFmtId="4" fontId="8" fillId="0" borderId="0" xfId="0" applyNumberFormat="1" applyFont="1"/>
    <xf numFmtId="0" fontId="8" fillId="0" borderId="6" xfId="0" applyFont="1" applyBorder="1"/>
    <xf numFmtId="166" fontId="8" fillId="0" borderId="6" xfId="0" applyNumberFormat="1" applyFont="1" applyBorder="1"/>
    <xf numFmtId="39" fontId="8" fillId="0" borderId="6" xfId="0" applyNumberFormat="1" applyFont="1" applyBorder="1"/>
    <xf numFmtId="39" fontId="8" fillId="0" borderId="5" xfId="0" applyNumberFormat="1" applyFont="1" applyBorder="1"/>
    <xf numFmtId="166" fontId="8" fillId="0" borderId="5" xfId="0" applyNumberFormat="1" applyFont="1" applyBorder="1"/>
    <xf numFmtId="166" fontId="1" fillId="0" borderId="0" xfId="0" applyNumberFormat="1" applyFont="1"/>
    <xf numFmtId="166" fontId="0" fillId="0" borderId="6" xfId="0" applyNumberFormat="1" applyBorder="1"/>
    <xf numFmtId="166" fontId="10" fillId="0" borderId="0" xfId="0" applyNumberFormat="1" applyFont="1"/>
    <xf numFmtId="166" fontId="0" fillId="0" borderId="5" xfId="0" applyNumberFormat="1" applyBorder="1"/>
    <xf numFmtId="0" fontId="0" fillId="0" borderId="0" xfId="0" applyAlignment="1">
      <alignment wrapText="1"/>
    </xf>
    <xf numFmtId="0" fontId="0" fillId="0" borderId="0" xfId="0" applyBorder="1"/>
    <xf numFmtId="43" fontId="2" fillId="0" borderId="0" xfId="2" applyFont="1" applyFill="1" applyBorder="1"/>
    <xf numFmtId="9" fontId="2" fillId="0" borderId="0" xfId="1" applyNumberFormat="1" applyFont="1" applyFill="1"/>
    <xf numFmtId="165" fontId="0" fillId="0" borderId="7" xfId="0" applyNumberFormat="1" applyBorder="1" applyProtection="1">
      <protection locked="0"/>
    </xf>
    <xf numFmtId="14" fontId="5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39" fontId="5" fillId="0" borderId="0" xfId="0" applyNumberFormat="1" applyFont="1" applyFill="1"/>
    <xf numFmtId="0" fontId="0" fillId="0" borderId="0" xfId="0" applyFill="1"/>
    <xf numFmtId="166" fontId="0" fillId="0" borderId="2" xfId="0" applyNumberFormat="1" applyFill="1" applyBorder="1"/>
    <xf numFmtId="166" fontId="0" fillId="0" borderId="3" xfId="0" applyNumberFormat="1" applyFill="1" applyBorder="1"/>
    <xf numFmtId="166" fontId="0" fillId="0" borderId="0" xfId="0" applyNumberFormat="1" applyFill="1"/>
    <xf numFmtId="166" fontId="0" fillId="0" borderId="2" xfId="0" applyNumberFormat="1" applyFill="1" applyBorder="1" applyAlignment="1">
      <alignment horizontal="left"/>
    </xf>
    <xf numFmtId="166" fontId="0" fillId="0" borderId="4" xfId="0" applyNumberFormat="1" applyFill="1" applyBorder="1"/>
    <xf numFmtId="0" fontId="0" fillId="0" borderId="2" xfId="0" applyFill="1" applyBorder="1"/>
    <xf numFmtId="166" fontId="4" fillId="0" borderId="0" xfId="0" applyNumberFormat="1" applyFont="1" applyFill="1"/>
    <xf numFmtId="39" fontId="0" fillId="0" borderId="0" xfId="0" applyNumberFormat="1" applyFill="1"/>
    <xf numFmtId="43" fontId="0" fillId="0" borderId="2" xfId="0" applyNumberFormat="1" applyFill="1" applyBorder="1"/>
    <xf numFmtId="0" fontId="0" fillId="0" borderId="2" xfId="0" applyFill="1" applyBorder="1" applyAlignment="1"/>
    <xf numFmtId="166" fontId="6" fillId="0" borderId="0" xfId="0" applyNumberFormat="1" applyFont="1" applyFill="1"/>
    <xf numFmtId="166" fontId="4" fillId="0" borderId="0" xfId="0" applyNumberFormat="1" applyFont="1" applyFill="1" applyAlignment="1">
      <alignment horizontal="right"/>
    </xf>
    <xf numFmtId="166" fontId="4" fillId="0" borderId="5" xfId="0" applyNumberFormat="1" applyFont="1" applyFill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5474-62F8-45F4-9670-CA3325F59622}">
  <dimension ref="A1:V118"/>
  <sheetViews>
    <sheetView topLeftCell="A84" workbookViewId="0">
      <selection activeCell="T115" sqref="T115:V118"/>
    </sheetView>
  </sheetViews>
  <sheetFormatPr defaultRowHeight="15" x14ac:dyDescent="0.25"/>
  <cols>
    <col min="1" max="1" width="10.42578125" style="12" bestFit="1" customWidth="1"/>
    <col min="2" max="2" width="55.7109375" bestFit="1" customWidth="1"/>
    <col min="4" max="4" width="9.5703125" style="6" bestFit="1" customWidth="1"/>
    <col min="5" max="5" width="9.140625" style="6"/>
    <col min="6" max="6" width="9.5703125" style="6" bestFit="1" customWidth="1"/>
    <col min="7" max="7" width="9.140625" style="6"/>
    <col min="8" max="8" width="9.28515625" style="6" bestFit="1" customWidth="1"/>
    <col min="10" max="13" width="0" hidden="1" customWidth="1"/>
    <col min="16" max="16" width="9.140625" style="6"/>
  </cols>
  <sheetData>
    <row r="1" spans="1:17" ht="15.75" x14ac:dyDescent="0.25">
      <c r="A1" s="11" t="s">
        <v>0</v>
      </c>
      <c r="B1" s="3" t="s">
        <v>1</v>
      </c>
      <c r="Q1" s="1"/>
    </row>
    <row r="2" spans="1:17" x14ac:dyDescent="0.25">
      <c r="A2" s="11" t="s">
        <v>2</v>
      </c>
    </row>
    <row r="3" spans="1:17" x14ac:dyDescent="0.25">
      <c r="B3" s="1" t="s">
        <v>3</v>
      </c>
    </row>
    <row r="4" spans="1:17" x14ac:dyDescent="0.25">
      <c r="B4" s="1" t="s">
        <v>4</v>
      </c>
    </row>
    <row r="5" spans="1:17" s="4" customFormat="1" x14ac:dyDescent="0.25">
      <c r="A5" s="13"/>
      <c r="D5" s="7" t="s">
        <v>5</v>
      </c>
      <c r="E5" s="10"/>
      <c r="F5" s="7" t="s">
        <v>6</v>
      </c>
      <c r="G5" s="10"/>
      <c r="H5" s="7" t="s">
        <v>7</v>
      </c>
      <c r="J5" s="2" t="s">
        <v>8</v>
      </c>
      <c r="L5" s="2" t="s">
        <v>9</v>
      </c>
      <c r="N5" s="2" t="s">
        <v>10</v>
      </c>
      <c r="P5" s="7" t="s">
        <v>11</v>
      </c>
    </row>
    <row r="6" spans="1:17" s="4" customFormat="1" x14ac:dyDescent="0.25">
      <c r="A6" s="13"/>
      <c r="D6" s="7" t="s">
        <v>12</v>
      </c>
      <c r="E6" s="10"/>
      <c r="F6" s="7" t="s">
        <v>13</v>
      </c>
      <c r="G6" s="10"/>
      <c r="H6" s="7" t="s">
        <v>13</v>
      </c>
      <c r="J6" s="2" t="s">
        <v>14</v>
      </c>
      <c r="L6" s="2" t="s">
        <v>15</v>
      </c>
      <c r="P6" s="7" t="s">
        <v>16</v>
      </c>
    </row>
    <row r="7" spans="1:17" x14ac:dyDescent="0.25">
      <c r="A7" s="14">
        <v>400</v>
      </c>
      <c r="B7" s="2" t="s">
        <v>17</v>
      </c>
    </row>
    <row r="8" spans="1:17" x14ac:dyDescent="0.25">
      <c r="A8" s="11">
        <v>1090</v>
      </c>
      <c r="B8" s="1" t="s">
        <v>18</v>
      </c>
      <c r="D8" s="8">
        <v>4382</v>
      </c>
      <c r="F8" s="8">
        <v>4300</v>
      </c>
      <c r="H8" s="8">
        <f>F8-D8</f>
        <v>-82</v>
      </c>
      <c r="N8" s="5">
        <f>D8/F8</f>
        <v>1.0190697674418605</v>
      </c>
    </row>
    <row r="9" spans="1:17" x14ac:dyDescent="0.25">
      <c r="A9" s="11">
        <v>1900</v>
      </c>
      <c r="B9" s="1" t="s">
        <v>19</v>
      </c>
      <c r="D9" s="8">
        <v>1219</v>
      </c>
      <c r="F9" s="8">
        <v>0</v>
      </c>
      <c r="H9" s="8">
        <f>F9-D9</f>
        <v>-1219</v>
      </c>
      <c r="N9" s="5" t="e">
        <f>D9/F9</f>
        <v>#DIV/0!</v>
      </c>
      <c r="P9" s="8">
        <v>150</v>
      </c>
    </row>
    <row r="11" spans="1:17" x14ac:dyDescent="0.25">
      <c r="B11" s="1" t="s">
        <v>20</v>
      </c>
      <c r="D11" s="9">
        <f>SUM(D8:D10)</f>
        <v>5601</v>
      </c>
      <c r="F11" s="9">
        <f>SUM(F8:F10)</f>
        <v>4300</v>
      </c>
      <c r="H11" s="9">
        <f>SUM(H8:H10)</f>
        <v>-1301</v>
      </c>
      <c r="N11" s="5">
        <f>D11/F11</f>
        <v>1.3025581395348838</v>
      </c>
      <c r="P11" s="9">
        <f>SUM(P8:P10)</f>
        <v>150</v>
      </c>
    </row>
    <row r="12" spans="1:17" x14ac:dyDescent="0.25">
      <c r="B12" s="1"/>
      <c r="D12" s="8"/>
      <c r="F12" s="8"/>
      <c r="H12" s="8"/>
      <c r="N12" s="1"/>
      <c r="P12" s="8"/>
    </row>
    <row r="13" spans="1:17" x14ac:dyDescent="0.25">
      <c r="A13" s="11">
        <v>4350</v>
      </c>
      <c r="B13" s="1" t="s">
        <v>21</v>
      </c>
      <c r="D13" s="8">
        <v>0</v>
      </c>
      <c r="F13" s="8">
        <v>100</v>
      </c>
      <c r="H13" s="8">
        <f t="shared" ref="H13:H20" si="0">F13-D13</f>
        <v>100</v>
      </c>
      <c r="L13" s="1">
        <v>100</v>
      </c>
      <c r="N13" s="5">
        <f t="shared" ref="N13:N20" si="1">D13/F13</f>
        <v>0</v>
      </c>
    </row>
    <row r="14" spans="1:17" x14ac:dyDescent="0.25">
      <c r="A14" s="11">
        <v>4500</v>
      </c>
      <c r="B14" s="1" t="s">
        <v>22</v>
      </c>
      <c r="D14" s="8">
        <v>567</v>
      </c>
      <c r="F14" s="8">
        <v>2000</v>
      </c>
      <c r="H14" s="8">
        <f t="shared" si="0"/>
        <v>1433</v>
      </c>
      <c r="L14" s="1">
        <v>1433</v>
      </c>
      <c r="N14" s="5">
        <f t="shared" si="1"/>
        <v>0.28349999999999997</v>
      </c>
    </row>
    <row r="15" spans="1:17" x14ac:dyDescent="0.25">
      <c r="A15" s="11">
        <v>4510</v>
      </c>
      <c r="B15" s="1" t="s">
        <v>23</v>
      </c>
      <c r="D15" s="8">
        <v>161</v>
      </c>
      <c r="F15" s="8">
        <v>250</v>
      </c>
      <c r="H15" s="8">
        <f t="shared" si="0"/>
        <v>89</v>
      </c>
      <c r="L15" s="1">
        <v>89</v>
      </c>
      <c r="N15" s="5">
        <f t="shared" si="1"/>
        <v>0.64400000000000002</v>
      </c>
    </row>
    <row r="16" spans="1:17" x14ac:dyDescent="0.25">
      <c r="A16" s="11">
        <v>4520</v>
      </c>
      <c r="B16" s="1" t="s">
        <v>24</v>
      </c>
      <c r="D16" s="8">
        <v>211</v>
      </c>
      <c r="F16" s="8">
        <v>510</v>
      </c>
      <c r="H16" s="8">
        <f t="shared" si="0"/>
        <v>299</v>
      </c>
      <c r="L16" s="1">
        <v>299</v>
      </c>
      <c r="N16" s="5">
        <f t="shared" si="1"/>
        <v>0.4137254901960784</v>
      </c>
    </row>
    <row r="17" spans="1:16" x14ac:dyDescent="0.25">
      <c r="A17" s="11">
        <v>4521</v>
      </c>
      <c r="B17" s="1" t="s">
        <v>25</v>
      </c>
      <c r="D17" s="8">
        <v>1692</v>
      </c>
      <c r="F17" s="8">
        <v>4075</v>
      </c>
      <c r="H17" s="8">
        <f t="shared" si="0"/>
        <v>2383</v>
      </c>
      <c r="L17" s="1">
        <v>2383</v>
      </c>
      <c r="N17" s="5">
        <f t="shared" si="1"/>
        <v>0.41521472392638037</v>
      </c>
    </row>
    <row r="18" spans="1:16" x14ac:dyDescent="0.25">
      <c r="A18" s="11">
        <v>4540</v>
      </c>
      <c r="B18" s="1" t="s">
        <v>26</v>
      </c>
      <c r="D18" s="8">
        <v>1365</v>
      </c>
      <c r="F18" s="8">
        <v>1000</v>
      </c>
      <c r="H18" s="8">
        <f t="shared" si="0"/>
        <v>-365</v>
      </c>
      <c r="L18" s="1" t="s">
        <v>27</v>
      </c>
      <c r="N18" s="5">
        <f t="shared" si="1"/>
        <v>1.365</v>
      </c>
    </row>
    <row r="19" spans="1:16" x14ac:dyDescent="0.25">
      <c r="A19" s="11">
        <v>4550</v>
      </c>
      <c r="B19" s="1" t="s">
        <v>28</v>
      </c>
      <c r="D19" s="8">
        <v>0</v>
      </c>
      <c r="F19" s="8">
        <v>1000</v>
      </c>
      <c r="H19" s="8">
        <f t="shared" si="0"/>
        <v>1000</v>
      </c>
      <c r="L19" s="1">
        <v>1000</v>
      </c>
      <c r="N19" s="5">
        <f t="shared" si="1"/>
        <v>0</v>
      </c>
    </row>
    <row r="20" spans="1:16" x14ac:dyDescent="0.25">
      <c r="A20" s="11">
        <v>4552</v>
      </c>
      <c r="B20" s="1" t="s">
        <v>29</v>
      </c>
      <c r="D20" s="8">
        <v>0</v>
      </c>
      <c r="F20" s="8">
        <v>200</v>
      </c>
      <c r="H20" s="8">
        <f t="shared" si="0"/>
        <v>200</v>
      </c>
      <c r="L20" s="1">
        <v>200</v>
      </c>
      <c r="N20" s="5">
        <f t="shared" si="1"/>
        <v>0</v>
      </c>
    </row>
    <row r="22" spans="1:16" x14ac:dyDescent="0.25">
      <c r="B22" s="1" t="s">
        <v>30</v>
      </c>
      <c r="D22" s="9">
        <f>SUM(D13:D21)</f>
        <v>3996</v>
      </c>
      <c r="F22" s="9">
        <f>SUM(F13:F21)</f>
        <v>9135</v>
      </c>
      <c r="H22" s="9">
        <f>SUM(H13:H21)</f>
        <v>5139</v>
      </c>
      <c r="J22" s="1">
        <v>0</v>
      </c>
      <c r="L22" s="1">
        <v>5140</v>
      </c>
      <c r="N22" s="5">
        <f>D22/F22</f>
        <v>0.43743842364532021</v>
      </c>
      <c r="P22" s="8">
        <v>0</v>
      </c>
    </row>
    <row r="23" spans="1:16" x14ac:dyDescent="0.25">
      <c r="B23" s="1" t="s">
        <v>31</v>
      </c>
      <c r="D23" s="8">
        <f>D11-D22</f>
        <v>1605</v>
      </c>
      <c r="F23" s="8">
        <f>F11-F22</f>
        <v>-4835</v>
      </c>
      <c r="H23" s="8">
        <f>H11-H22</f>
        <v>-6440</v>
      </c>
    </row>
    <row r="25" spans="1:16" x14ac:dyDescent="0.25">
      <c r="A25" s="11">
        <v>6001</v>
      </c>
      <c r="B25" s="1" t="s">
        <v>32</v>
      </c>
      <c r="D25" s="8">
        <f>P11</f>
        <v>150</v>
      </c>
      <c r="F25" s="8">
        <v>0</v>
      </c>
      <c r="H25" s="8">
        <f>F25-D25</f>
        <v>-150</v>
      </c>
    </row>
    <row r="26" spans="1:16" x14ac:dyDescent="0.25">
      <c r="B26" s="1" t="s">
        <v>33</v>
      </c>
      <c r="D26" s="8">
        <f>D23-D25</f>
        <v>1455</v>
      </c>
      <c r="F26" s="8">
        <f>F23-F25</f>
        <v>-4835</v>
      </c>
      <c r="H26" s="8">
        <f>H23-H25</f>
        <v>-6290</v>
      </c>
    </row>
    <row r="28" spans="1:16" x14ac:dyDescent="0.25">
      <c r="A28" s="14">
        <v>410</v>
      </c>
      <c r="B28" s="2" t="s">
        <v>34</v>
      </c>
    </row>
    <row r="29" spans="1:16" x14ac:dyDescent="0.25">
      <c r="A29" s="11">
        <v>1500</v>
      </c>
      <c r="B29" s="1" t="s">
        <v>35</v>
      </c>
      <c r="D29" s="8">
        <v>7568</v>
      </c>
      <c r="F29" s="8">
        <v>3000</v>
      </c>
      <c r="H29" s="8">
        <f>F29-D29</f>
        <v>-4568</v>
      </c>
      <c r="N29" s="5">
        <f>D29/F29</f>
        <v>2.5226666666666668</v>
      </c>
      <c r="P29" s="8">
        <v>7568</v>
      </c>
    </row>
    <row r="31" spans="1:16" x14ac:dyDescent="0.25">
      <c r="B31" s="1" t="s">
        <v>36</v>
      </c>
      <c r="D31" s="9">
        <f>SUM(D29:D30)</f>
        <v>7568</v>
      </c>
      <c r="F31" s="9">
        <f>SUM(F29:F30)</f>
        <v>3000</v>
      </c>
      <c r="H31" s="9">
        <f>SUM(H29:H30)</f>
        <v>-4568</v>
      </c>
      <c r="N31" s="5">
        <f>D31/F31</f>
        <v>2.5226666666666668</v>
      </c>
      <c r="P31" s="9">
        <f>SUM(P29:P30)</f>
        <v>7568</v>
      </c>
    </row>
    <row r="32" spans="1:16" x14ac:dyDescent="0.25">
      <c r="B32" s="1"/>
      <c r="D32" s="8"/>
      <c r="F32" s="8"/>
      <c r="H32" s="8"/>
      <c r="N32" s="1"/>
      <c r="P32" s="8"/>
    </row>
    <row r="33" spans="1:16" x14ac:dyDescent="0.25">
      <c r="A33" s="11">
        <v>4500</v>
      </c>
      <c r="B33" s="1" t="s">
        <v>22</v>
      </c>
      <c r="D33" s="8">
        <v>0</v>
      </c>
      <c r="F33" s="8">
        <v>1500</v>
      </c>
      <c r="H33" s="8">
        <f>F33-D33</f>
        <v>1500</v>
      </c>
      <c r="L33" s="1">
        <v>1500</v>
      </c>
      <c r="N33" s="5">
        <f>D33/F33</f>
        <v>0</v>
      </c>
    </row>
    <row r="34" spans="1:16" x14ac:dyDescent="0.25">
      <c r="A34" s="11">
        <v>4520</v>
      </c>
      <c r="B34" s="1" t="s">
        <v>24</v>
      </c>
      <c r="D34" s="8">
        <v>1178</v>
      </c>
      <c r="F34" s="8">
        <v>2840</v>
      </c>
      <c r="H34" s="8">
        <f>F34-D34</f>
        <v>1662</v>
      </c>
      <c r="L34" s="1">
        <v>1662</v>
      </c>
      <c r="N34" s="5">
        <f>D34/F34</f>
        <v>0.4147887323943662</v>
      </c>
    </row>
    <row r="35" spans="1:16" x14ac:dyDescent="0.25">
      <c r="A35" s="11">
        <v>4530</v>
      </c>
      <c r="B35" s="1" t="s">
        <v>37</v>
      </c>
      <c r="D35" s="8">
        <v>51</v>
      </c>
      <c r="F35" s="8">
        <v>90</v>
      </c>
      <c r="H35" s="8">
        <f>F35-D35</f>
        <v>39</v>
      </c>
      <c r="L35" s="1">
        <v>39</v>
      </c>
      <c r="N35" s="5">
        <f>D35/F35</f>
        <v>0.56666666666666665</v>
      </c>
      <c r="P35" s="8">
        <v>51</v>
      </c>
    </row>
    <row r="36" spans="1:16" x14ac:dyDescent="0.25">
      <c r="A36" s="11">
        <v>4540</v>
      </c>
      <c r="B36" s="1" t="s">
        <v>26</v>
      </c>
      <c r="D36" s="8">
        <v>138</v>
      </c>
      <c r="F36" s="8">
        <v>750</v>
      </c>
      <c r="H36" s="8">
        <f>F36-D36</f>
        <v>612</v>
      </c>
      <c r="L36" s="1">
        <v>613</v>
      </c>
      <c r="N36" s="5">
        <f>D36/F36</f>
        <v>0.184</v>
      </c>
      <c r="P36" s="8">
        <v>138</v>
      </c>
    </row>
    <row r="38" spans="1:16" x14ac:dyDescent="0.25">
      <c r="B38" s="1" t="s">
        <v>38</v>
      </c>
      <c r="D38" s="9">
        <f>SUM(D33:D37)</f>
        <v>1367</v>
      </c>
      <c r="F38" s="9">
        <f>SUM(F33:F37)</f>
        <v>5180</v>
      </c>
      <c r="H38" s="9">
        <f>SUM(H33:H37)</f>
        <v>3813</v>
      </c>
      <c r="J38" s="1">
        <v>0</v>
      </c>
      <c r="L38" s="1">
        <v>3814</v>
      </c>
      <c r="N38" s="5">
        <f>D38/F38</f>
        <v>0.26389961389961392</v>
      </c>
      <c r="P38" s="9">
        <f>SUM(P33:P37)</f>
        <v>189</v>
      </c>
    </row>
    <row r="39" spans="1:16" x14ac:dyDescent="0.25">
      <c r="B39" s="1" t="s">
        <v>31</v>
      </c>
      <c r="D39" s="8">
        <f>D31-D38</f>
        <v>6201</v>
      </c>
      <c r="F39" s="8">
        <f>F31-F38</f>
        <v>-2180</v>
      </c>
      <c r="H39" s="8">
        <f>H31-H38</f>
        <v>-8381</v>
      </c>
    </row>
    <row r="41" spans="1:16" x14ac:dyDescent="0.25">
      <c r="A41" s="11">
        <v>6000</v>
      </c>
      <c r="B41" s="1" t="s">
        <v>39</v>
      </c>
      <c r="D41" s="8">
        <f>P38</f>
        <v>189</v>
      </c>
      <c r="F41" s="8">
        <v>0</v>
      </c>
      <c r="H41" s="8">
        <f>F41-D41</f>
        <v>-189</v>
      </c>
    </row>
    <row r="42" spans="1:16" x14ac:dyDescent="0.25">
      <c r="A42" s="11">
        <v>6001</v>
      </c>
      <c r="B42" s="1" t="s">
        <v>32</v>
      </c>
      <c r="D42" s="8">
        <f>P31</f>
        <v>7568</v>
      </c>
      <c r="F42" s="8">
        <v>0</v>
      </c>
      <c r="H42" s="8">
        <f>F42-D42</f>
        <v>-7568</v>
      </c>
    </row>
    <row r="43" spans="1:16" x14ac:dyDescent="0.25">
      <c r="B43" s="1" t="s">
        <v>33</v>
      </c>
      <c r="D43" s="8">
        <f>D39+D41-D42</f>
        <v>-1178</v>
      </c>
      <c r="F43" s="8">
        <f>F39+F41-F42</f>
        <v>-2180</v>
      </c>
      <c r="H43" s="8">
        <f>H39+H41-H42</f>
        <v>-1002</v>
      </c>
    </row>
    <row r="45" spans="1:16" x14ac:dyDescent="0.25">
      <c r="A45" s="14">
        <v>420</v>
      </c>
      <c r="B45" s="2" t="s">
        <v>40</v>
      </c>
    </row>
    <row r="46" spans="1:16" x14ac:dyDescent="0.25">
      <c r="A46" s="11">
        <v>1400</v>
      </c>
      <c r="B46" s="1" t="s">
        <v>41</v>
      </c>
      <c r="D46" s="8">
        <v>65</v>
      </c>
      <c r="F46" s="8">
        <v>2400</v>
      </c>
      <c r="H46" s="8">
        <f>F46-D46</f>
        <v>2335</v>
      </c>
      <c r="N46" s="5">
        <f>D46/F46</f>
        <v>2.7083333333333334E-2</v>
      </c>
      <c r="P46" s="8">
        <v>65</v>
      </c>
    </row>
    <row r="48" spans="1:16" x14ac:dyDescent="0.25">
      <c r="B48" s="1" t="s">
        <v>42</v>
      </c>
      <c r="D48" s="9">
        <f>SUM(D46:D47)</f>
        <v>65</v>
      </c>
      <c r="F48" s="9">
        <f>SUM(F46:F47)</f>
        <v>2400</v>
      </c>
      <c r="H48" s="9">
        <f>SUM(H46:H47)</f>
        <v>2335</v>
      </c>
      <c r="N48" s="5">
        <f>D48/F48</f>
        <v>2.7083333333333334E-2</v>
      </c>
      <c r="P48" s="9">
        <f>SUM(P46:P47)</f>
        <v>65</v>
      </c>
    </row>
    <row r="49" spans="1:16" x14ac:dyDescent="0.25">
      <c r="B49" s="1"/>
      <c r="D49" s="8"/>
      <c r="F49" s="8"/>
      <c r="H49" s="8"/>
      <c r="N49" s="1"/>
      <c r="P49" s="8"/>
    </row>
    <row r="50" spans="1:16" x14ac:dyDescent="0.25">
      <c r="A50" s="11">
        <v>4280</v>
      </c>
      <c r="B50" s="1" t="s">
        <v>43</v>
      </c>
      <c r="D50" s="8">
        <v>394</v>
      </c>
      <c r="F50" s="8">
        <v>800</v>
      </c>
      <c r="H50" s="8">
        <f>F50-D50</f>
        <v>406</v>
      </c>
      <c r="L50" s="1">
        <v>406</v>
      </c>
      <c r="N50" s="5">
        <f>D50/F50</f>
        <v>0.49249999999999999</v>
      </c>
      <c r="P50" s="8">
        <v>394</v>
      </c>
    </row>
    <row r="51" spans="1:16" x14ac:dyDescent="0.25">
      <c r="A51" s="11">
        <v>4500</v>
      </c>
      <c r="B51" s="1" t="s">
        <v>22</v>
      </c>
      <c r="D51" s="8">
        <v>0</v>
      </c>
      <c r="F51" s="8">
        <v>1000</v>
      </c>
      <c r="H51" s="8">
        <f>F51-D51</f>
        <v>1000</v>
      </c>
      <c r="L51" s="1">
        <v>1000</v>
      </c>
      <c r="N51" s="5">
        <f>D51/F51</f>
        <v>0</v>
      </c>
    </row>
    <row r="52" spans="1:16" x14ac:dyDescent="0.25">
      <c r="A52" s="11">
        <v>4530</v>
      </c>
      <c r="B52" s="1" t="s">
        <v>37</v>
      </c>
      <c r="D52" s="8">
        <v>661</v>
      </c>
      <c r="F52" s="8">
        <v>1260</v>
      </c>
      <c r="H52" s="8">
        <f>F52-D52</f>
        <v>599</v>
      </c>
      <c r="L52" s="1">
        <v>599</v>
      </c>
      <c r="N52" s="5">
        <f>D52/F52</f>
        <v>0.52460317460317463</v>
      </c>
      <c r="P52" s="8">
        <v>661</v>
      </c>
    </row>
    <row r="53" spans="1:16" x14ac:dyDescent="0.25">
      <c r="A53" s="11">
        <v>4540</v>
      </c>
      <c r="B53" s="1" t="s">
        <v>26</v>
      </c>
      <c r="D53" s="8">
        <v>488</v>
      </c>
      <c r="F53" s="8">
        <v>0</v>
      </c>
      <c r="H53" s="8">
        <f>F53-D53</f>
        <v>-488</v>
      </c>
      <c r="L53" s="1" t="s">
        <v>44</v>
      </c>
      <c r="N53" s="5" t="e">
        <f>D53/F53</f>
        <v>#DIV/0!</v>
      </c>
    </row>
    <row r="55" spans="1:16" x14ac:dyDescent="0.25">
      <c r="B55" s="1" t="s">
        <v>45</v>
      </c>
      <c r="D55" s="9">
        <f>SUM(D50:D54)</f>
        <v>1543</v>
      </c>
      <c r="F55" s="9">
        <f>SUM(F50:F54)</f>
        <v>3060</v>
      </c>
      <c r="H55" s="9">
        <f>SUM(H50:H54)</f>
        <v>1517</v>
      </c>
      <c r="J55" s="1">
        <v>0</v>
      </c>
      <c r="L55" s="1">
        <v>3814</v>
      </c>
      <c r="N55" s="5">
        <f>D55/F55</f>
        <v>0.50424836601307188</v>
      </c>
      <c r="P55" s="9">
        <f>SUM(P50:P54)</f>
        <v>1055</v>
      </c>
    </row>
    <row r="56" spans="1:16" x14ac:dyDescent="0.25">
      <c r="B56" s="1" t="s">
        <v>31</v>
      </c>
      <c r="D56" s="8">
        <f>D48-D55</f>
        <v>-1478</v>
      </c>
      <c r="F56" s="8">
        <f>F48-F55</f>
        <v>-660</v>
      </c>
      <c r="H56" s="8">
        <f>H48-H55</f>
        <v>818</v>
      </c>
    </row>
    <row r="58" spans="1:16" x14ac:dyDescent="0.25">
      <c r="A58" s="11">
        <v>6000</v>
      </c>
      <c r="B58" s="1" t="s">
        <v>39</v>
      </c>
      <c r="D58" s="8">
        <f>P55</f>
        <v>1055</v>
      </c>
      <c r="F58" s="8">
        <v>0</v>
      </c>
      <c r="H58" s="8">
        <f>F58-D58</f>
        <v>-1055</v>
      </c>
    </row>
    <row r="59" spans="1:16" x14ac:dyDescent="0.25">
      <c r="A59" s="11">
        <v>6001</v>
      </c>
      <c r="B59" s="1" t="s">
        <v>32</v>
      </c>
      <c r="D59" s="8">
        <f>P48</f>
        <v>65</v>
      </c>
      <c r="F59" s="8">
        <v>0</v>
      </c>
      <c r="H59" s="8">
        <f>F59-D59</f>
        <v>-65</v>
      </c>
    </row>
    <row r="60" spans="1:16" x14ac:dyDescent="0.25">
      <c r="B60" s="1" t="s">
        <v>33</v>
      </c>
      <c r="D60" s="8">
        <f>D56+D58-D59</f>
        <v>-488</v>
      </c>
      <c r="F60" s="8">
        <f>F56+F58-F59</f>
        <v>-660</v>
      </c>
      <c r="H60" s="8">
        <f>H56+H58-H59</f>
        <v>-172</v>
      </c>
    </row>
    <row r="62" spans="1:16" x14ac:dyDescent="0.25">
      <c r="A62" s="14">
        <v>430</v>
      </c>
      <c r="B62" s="2" t="s">
        <v>46</v>
      </c>
    </row>
    <row r="63" spans="1:16" x14ac:dyDescent="0.25">
      <c r="A63" s="11">
        <v>1350</v>
      </c>
      <c r="B63" s="1" t="s">
        <v>47</v>
      </c>
      <c r="D63" s="8">
        <v>310</v>
      </c>
      <c r="F63" s="8">
        <v>0</v>
      </c>
      <c r="H63" s="8">
        <f>F63-D63</f>
        <v>-310</v>
      </c>
      <c r="N63" s="5" t="e">
        <f>D63/F63</f>
        <v>#DIV/0!</v>
      </c>
    </row>
    <row r="65" spans="1:16" x14ac:dyDescent="0.25">
      <c r="B65" s="1" t="s">
        <v>48</v>
      </c>
      <c r="D65" s="9">
        <f>SUM(D63:D64)</f>
        <v>310</v>
      </c>
      <c r="F65" s="9">
        <f>SUM(F63:F64)</f>
        <v>0</v>
      </c>
      <c r="H65" s="9">
        <f>SUM(H63:H64)</f>
        <v>-310</v>
      </c>
      <c r="N65" s="5" t="e">
        <f>D65/F65</f>
        <v>#DIV/0!</v>
      </c>
      <c r="P65" s="9">
        <f>SUM(P63:P64)</f>
        <v>0</v>
      </c>
    </row>
    <row r="66" spans="1:16" x14ac:dyDescent="0.25">
      <c r="B66" s="1"/>
      <c r="D66" s="8"/>
      <c r="F66" s="8"/>
      <c r="H66" s="8"/>
      <c r="P66" s="8"/>
    </row>
    <row r="67" spans="1:16" x14ac:dyDescent="0.25">
      <c r="A67" s="11">
        <v>4280</v>
      </c>
      <c r="B67" s="1" t="s">
        <v>43</v>
      </c>
      <c r="D67" s="8">
        <v>551</v>
      </c>
      <c r="F67" s="8">
        <v>1200</v>
      </c>
      <c r="H67" s="8">
        <f t="shared" ref="H67:H72" si="2">F67-D67</f>
        <v>649</v>
      </c>
      <c r="L67" s="1">
        <v>649</v>
      </c>
      <c r="N67" s="5">
        <f t="shared" ref="N67:N72" si="3">D67/F67</f>
        <v>0.45916666666666667</v>
      </c>
    </row>
    <row r="68" spans="1:16" x14ac:dyDescent="0.25">
      <c r="A68" s="11">
        <v>4350</v>
      </c>
      <c r="B68" s="1" t="s">
        <v>21</v>
      </c>
      <c r="D68" s="8">
        <v>1050</v>
      </c>
      <c r="F68" s="8">
        <v>0</v>
      </c>
      <c r="H68" s="8">
        <f t="shared" si="2"/>
        <v>-1050</v>
      </c>
      <c r="L68" s="1" t="s">
        <v>49</v>
      </c>
      <c r="N68" s="5" t="e">
        <f t="shared" si="3"/>
        <v>#DIV/0!</v>
      </c>
      <c r="P68" s="8">
        <v>1050</v>
      </c>
    </row>
    <row r="69" spans="1:16" x14ac:dyDescent="0.25">
      <c r="A69" s="11">
        <v>4500</v>
      </c>
      <c r="B69" s="1" t="s">
        <v>22</v>
      </c>
      <c r="D69" s="8">
        <v>6688</v>
      </c>
      <c r="F69" s="8">
        <v>1500</v>
      </c>
      <c r="H69" s="8">
        <f t="shared" si="2"/>
        <v>-5188</v>
      </c>
      <c r="L69" s="1" t="s">
        <v>50</v>
      </c>
      <c r="N69" s="5">
        <f t="shared" si="3"/>
        <v>4.4586666666666668</v>
      </c>
      <c r="P69" s="8">
        <v>6688</v>
      </c>
    </row>
    <row r="70" spans="1:16" x14ac:dyDescent="0.25">
      <c r="A70" s="11">
        <v>4510</v>
      </c>
      <c r="B70" s="1" t="s">
        <v>23</v>
      </c>
      <c r="D70" s="8">
        <v>0</v>
      </c>
      <c r="F70" s="8">
        <v>100</v>
      </c>
      <c r="H70" s="8">
        <f t="shared" si="2"/>
        <v>100</v>
      </c>
      <c r="L70" s="1">
        <v>100</v>
      </c>
      <c r="N70" s="5">
        <f t="shared" si="3"/>
        <v>0</v>
      </c>
    </row>
    <row r="71" spans="1:16" x14ac:dyDescent="0.25">
      <c r="A71" s="11">
        <v>4520</v>
      </c>
      <c r="B71" s="1" t="s">
        <v>24</v>
      </c>
      <c r="D71" s="8">
        <v>550</v>
      </c>
      <c r="F71" s="8">
        <v>1325</v>
      </c>
      <c r="H71" s="8">
        <f t="shared" si="2"/>
        <v>775</v>
      </c>
      <c r="L71" s="1">
        <v>775</v>
      </c>
      <c r="N71" s="5">
        <f t="shared" si="3"/>
        <v>0.41509433962264153</v>
      </c>
    </row>
    <row r="72" spans="1:16" x14ac:dyDescent="0.25">
      <c r="A72" s="11">
        <v>4540</v>
      </c>
      <c r="B72" s="1" t="s">
        <v>26</v>
      </c>
      <c r="D72" s="8">
        <v>138</v>
      </c>
      <c r="F72" s="8">
        <v>500</v>
      </c>
      <c r="H72" s="8">
        <f t="shared" si="2"/>
        <v>362</v>
      </c>
      <c r="L72" s="1">
        <v>363</v>
      </c>
      <c r="N72" s="5">
        <f t="shared" si="3"/>
        <v>0.27600000000000002</v>
      </c>
    </row>
    <row r="74" spans="1:16" x14ac:dyDescent="0.25">
      <c r="B74" s="1" t="s">
        <v>51</v>
      </c>
      <c r="D74" s="9">
        <f>SUM(D67:D73)</f>
        <v>8977</v>
      </c>
      <c r="F74" s="9">
        <f>SUM(F67:F73)</f>
        <v>4625</v>
      </c>
      <c r="H74" s="9">
        <f>SUM(H67:H73)</f>
        <v>-4352</v>
      </c>
      <c r="J74" s="1">
        <v>0</v>
      </c>
      <c r="L74" s="1" t="s">
        <v>52</v>
      </c>
      <c r="N74" s="5">
        <f>D74/F74</f>
        <v>1.940972972972973</v>
      </c>
      <c r="P74" s="9">
        <f>SUM(P67:P73)</f>
        <v>7738</v>
      </c>
    </row>
    <row r="75" spans="1:16" x14ac:dyDescent="0.25">
      <c r="B75" s="1" t="s">
        <v>31</v>
      </c>
      <c r="D75" s="8">
        <f>D74-D65</f>
        <v>8667</v>
      </c>
      <c r="F75" s="8">
        <f>F74-F65</f>
        <v>4625</v>
      </c>
      <c r="H75" s="8">
        <f>F75-D75</f>
        <v>-4042</v>
      </c>
    </row>
    <row r="77" spans="1:16" x14ac:dyDescent="0.25">
      <c r="A77" s="11">
        <v>6000</v>
      </c>
      <c r="B77" s="1" t="s">
        <v>39</v>
      </c>
      <c r="D77" s="8">
        <f>P74</f>
        <v>7738</v>
      </c>
      <c r="F77" s="8">
        <v>0</v>
      </c>
      <c r="H77" s="8">
        <f>F77-D77</f>
        <v>-7738</v>
      </c>
    </row>
    <row r="78" spans="1:16" x14ac:dyDescent="0.25">
      <c r="B78" s="1" t="s">
        <v>33</v>
      </c>
      <c r="D78" s="8">
        <f>D77-D75</f>
        <v>-929</v>
      </c>
      <c r="F78" s="8">
        <f>F77-F75</f>
        <v>-4625</v>
      </c>
      <c r="H78" s="8">
        <f>H77-H75</f>
        <v>-3696</v>
      </c>
    </row>
    <row r="80" spans="1:16" x14ac:dyDescent="0.25">
      <c r="A80" s="14">
        <v>440</v>
      </c>
      <c r="B80" s="2" t="s">
        <v>53</v>
      </c>
    </row>
    <row r="81" spans="1:16" x14ac:dyDescent="0.25">
      <c r="A81" s="11">
        <v>4500</v>
      </c>
      <c r="B81" s="1" t="s">
        <v>22</v>
      </c>
      <c r="D81" s="8">
        <v>412</v>
      </c>
      <c r="F81" s="8">
        <v>2000</v>
      </c>
      <c r="H81" s="8">
        <f>F81-D81</f>
        <v>1588</v>
      </c>
      <c r="L81" s="1">
        <v>1588</v>
      </c>
      <c r="N81" s="5">
        <f>D81/F81</f>
        <v>0.20599999999999999</v>
      </c>
    </row>
    <row r="82" spans="1:16" x14ac:dyDescent="0.25">
      <c r="A82" s="11">
        <v>4520</v>
      </c>
      <c r="B82" s="1" t="s">
        <v>24</v>
      </c>
      <c r="D82" s="8">
        <v>326</v>
      </c>
      <c r="F82" s="8">
        <v>785</v>
      </c>
      <c r="H82" s="8">
        <f>F82-D82</f>
        <v>459</v>
      </c>
      <c r="L82" s="1">
        <v>459</v>
      </c>
      <c r="N82" s="5">
        <f>D82/F82</f>
        <v>0.41528662420382167</v>
      </c>
    </row>
    <row r="83" spans="1:16" x14ac:dyDescent="0.25">
      <c r="A83" s="11">
        <v>4530</v>
      </c>
      <c r="B83" s="1" t="s">
        <v>37</v>
      </c>
      <c r="D83" s="8">
        <v>26</v>
      </c>
      <c r="F83" s="8">
        <v>30</v>
      </c>
      <c r="H83" s="8">
        <f>F83-D83</f>
        <v>4</v>
      </c>
      <c r="L83" s="1">
        <v>4</v>
      </c>
      <c r="N83" s="5">
        <f>D83/F83</f>
        <v>0.8666666666666667</v>
      </c>
    </row>
    <row r="84" spans="1:16" x14ac:dyDescent="0.25">
      <c r="A84" s="11">
        <v>4540</v>
      </c>
      <c r="B84" s="1" t="s">
        <v>26</v>
      </c>
      <c r="D84" s="8">
        <v>335</v>
      </c>
      <c r="F84" s="8">
        <v>2000</v>
      </c>
      <c r="H84" s="8">
        <f>F84-D84</f>
        <v>1665</v>
      </c>
      <c r="L84" s="1">
        <v>1665</v>
      </c>
      <c r="N84" s="5">
        <f>D84/F84</f>
        <v>0.16750000000000001</v>
      </c>
    </row>
    <row r="86" spans="1:16" x14ac:dyDescent="0.25">
      <c r="B86" s="1" t="s">
        <v>54</v>
      </c>
      <c r="D86" s="9">
        <f>SUM(D81:D85)</f>
        <v>1099</v>
      </c>
      <c r="F86" s="9">
        <f>SUM(F81:F85)</f>
        <v>4815</v>
      </c>
      <c r="H86" s="9">
        <f>SUM(H81:H85)</f>
        <v>3716</v>
      </c>
      <c r="J86" s="1">
        <v>0</v>
      </c>
      <c r="L86" s="1">
        <v>3814</v>
      </c>
      <c r="N86" s="5">
        <f>D86/F86</f>
        <v>0.22824506749740395</v>
      </c>
      <c r="P86" s="9">
        <f>SUM(P81:P85)</f>
        <v>0</v>
      </c>
    </row>
    <row r="87" spans="1:16" x14ac:dyDescent="0.25">
      <c r="B87" s="1" t="s">
        <v>55</v>
      </c>
      <c r="D87" s="8">
        <f>D79-D86</f>
        <v>-1099</v>
      </c>
      <c r="F87" s="8">
        <f>F79-F86</f>
        <v>-4815</v>
      </c>
      <c r="H87" s="8">
        <f>H79-H86</f>
        <v>-3716</v>
      </c>
    </row>
    <row r="89" spans="1:16" x14ac:dyDescent="0.25">
      <c r="A89" s="14">
        <v>450</v>
      </c>
      <c r="B89" s="2" t="s">
        <v>56</v>
      </c>
    </row>
    <row r="90" spans="1:16" x14ac:dyDescent="0.25">
      <c r="A90" s="11">
        <v>4500</v>
      </c>
      <c r="B90" s="1" t="s">
        <v>22</v>
      </c>
      <c r="D90" s="8">
        <v>3356</v>
      </c>
      <c r="F90" s="8">
        <v>1000</v>
      </c>
      <c r="H90" s="8">
        <f>F90-D90</f>
        <v>-2356</v>
      </c>
      <c r="L90" s="1" t="s">
        <v>57</v>
      </c>
      <c r="N90" s="5">
        <f>D90/F90</f>
        <v>3.3559999999999999</v>
      </c>
      <c r="P90" s="8">
        <v>3141</v>
      </c>
    </row>
    <row r="91" spans="1:16" x14ac:dyDescent="0.25">
      <c r="A91" s="11">
        <v>4540</v>
      </c>
      <c r="B91" s="1" t="s">
        <v>26</v>
      </c>
      <c r="D91" s="8">
        <v>138</v>
      </c>
      <c r="F91" s="8">
        <v>2000</v>
      </c>
      <c r="H91" s="8">
        <f>F91-D91</f>
        <v>1862</v>
      </c>
      <c r="L91" s="1">
        <v>1863</v>
      </c>
      <c r="N91" s="5">
        <f>D91/F91</f>
        <v>6.9000000000000006E-2</v>
      </c>
    </row>
    <row r="93" spans="1:16" x14ac:dyDescent="0.25">
      <c r="B93" s="1" t="s">
        <v>58</v>
      </c>
      <c r="D93" s="9">
        <f>SUM(D90:D92)</f>
        <v>3494</v>
      </c>
      <c r="F93" s="9">
        <f>SUM(F90:F92)</f>
        <v>3000</v>
      </c>
      <c r="H93" s="9">
        <f>SUM(H90:H92)</f>
        <v>-494</v>
      </c>
      <c r="J93" s="1">
        <v>0</v>
      </c>
      <c r="L93" s="1" t="s">
        <v>59</v>
      </c>
      <c r="N93" s="5">
        <f>D93/F93</f>
        <v>1.1646666666666667</v>
      </c>
      <c r="P93" s="9">
        <f>SUM(P90:P92)</f>
        <v>3141</v>
      </c>
    </row>
    <row r="94" spans="1:16" x14ac:dyDescent="0.25">
      <c r="B94" s="1" t="s">
        <v>55</v>
      </c>
      <c r="D94" s="8">
        <f>-D93</f>
        <v>-3494</v>
      </c>
      <c r="F94" s="8">
        <f>-F93</f>
        <v>-3000</v>
      </c>
      <c r="H94" s="8">
        <f>-H93</f>
        <v>494</v>
      </c>
    </row>
    <row r="96" spans="1:16" x14ac:dyDescent="0.25">
      <c r="A96" s="11">
        <v>6000</v>
      </c>
      <c r="B96" s="1" t="s">
        <v>39</v>
      </c>
      <c r="D96" s="8">
        <f>P93</f>
        <v>3141</v>
      </c>
      <c r="F96" s="8">
        <v>0</v>
      </c>
      <c r="H96" s="8">
        <f>F96-D96</f>
        <v>-3141</v>
      </c>
    </row>
    <row r="97" spans="1:16" x14ac:dyDescent="0.25">
      <c r="B97" s="1" t="s">
        <v>33</v>
      </c>
      <c r="D97" s="8">
        <f>D96-D93</f>
        <v>-353</v>
      </c>
      <c r="F97" s="8">
        <f>F96-F93</f>
        <v>-3000</v>
      </c>
      <c r="H97" s="8">
        <f>F97-D97</f>
        <v>-2647</v>
      </c>
    </row>
    <row r="99" spans="1:16" x14ac:dyDescent="0.25">
      <c r="A99" s="14">
        <v>460</v>
      </c>
      <c r="B99" s="2" t="s">
        <v>60</v>
      </c>
    </row>
    <row r="100" spans="1:16" x14ac:dyDescent="0.25">
      <c r="A100" s="11">
        <v>4520</v>
      </c>
      <c r="B100" s="1" t="s">
        <v>24</v>
      </c>
      <c r="D100" s="8">
        <v>593</v>
      </c>
      <c r="F100" s="8">
        <v>0</v>
      </c>
      <c r="H100" s="8">
        <f>F100-D100</f>
        <v>-593</v>
      </c>
      <c r="L100" s="1" t="s">
        <v>61</v>
      </c>
      <c r="N100" s="5" t="e">
        <f>D100/F100</f>
        <v>#DIV/0!</v>
      </c>
    </row>
    <row r="102" spans="1:16" x14ac:dyDescent="0.25">
      <c r="B102" s="1" t="s">
        <v>62</v>
      </c>
      <c r="D102" s="9">
        <f>SUM(D100:D101)</f>
        <v>593</v>
      </c>
      <c r="F102" s="9">
        <f>SUM(F100:F101)</f>
        <v>0</v>
      </c>
      <c r="H102" s="9">
        <f>SUM(H100:H101)</f>
        <v>-593</v>
      </c>
      <c r="J102" s="1">
        <v>0</v>
      </c>
      <c r="L102" s="1" t="s">
        <v>61</v>
      </c>
      <c r="P102" s="9">
        <f>SUM(P100:P101)</f>
        <v>0</v>
      </c>
    </row>
    <row r="103" spans="1:16" x14ac:dyDescent="0.25">
      <c r="B103" s="1" t="s">
        <v>55</v>
      </c>
      <c r="D103" s="8">
        <f>-D102</f>
        <v>-593</v>
      </c>
      <c r="F103" s="8">
        <f>-F102</f>
        <v>0</v>
      </c>
      <c r="H103" s="8">
        <f>-H102</f>
        <v>593</v>
      </c>
    </row>
    <row r="105" spans="1:16" x14ac:dyDescent="0.25">
      <c r="A105" s="14">
        <v>470</v>
      </c>
      <c r="B105" s="2" t="s">
        <v>63</v>
      </c>
    </row>
    <row r="106" spans="1:16" x14ac:dyDescent="0.25">
      <c r="A106" s="11">
        <v>4520</v>
      </c>
      <c r="B106" s="1" t="s">
        <v>24</v>
      </c>
      <c r="D106" s="8">
        <v>247</v>
      </c>
      <c r="F106" s="8">
        <v>600</v>
      </c>
      <c r="H106" s="8">
        <f>F106-D106</f>
        <v>353</v>
      </c>
      <c r="L106" s="1">
        <v>353</v>
      </c>
      <c r="N106" s="5">
        <f>D106/F106</f>
        <v>0.41166666666666668</v>
      </c>
    </row>
    <row r="108" spans="1:16" x14ac:dyDescent="0.25">
      <c r="B108" s="1" t="s">
        <v>64</v>
      </c>
      <c r="D108" s="9">
        <f>SUM(D106:D107)</f>
        <v>247</v>
      </c>
      <c r="F108" s="9">
        <f>SUM(F106:F107)</f>
        <v>600</v>
      </c>
      <c r="H108" s="9">
        <f>SUM(H106:H107)</f>
        <v>353</v>
      </c>
      <c r="J108" s="1">
        <v>0</v>
      </c>
      <c r="L108" s="1">
        <v>353</v>
      </c>
      <c r="N108" s="5">
        <f>D108/F108</f>
        <v>0.41166666666666668</v>
      </c>
      <c r="P108" s="9">
        <f>SUM(P106:P107)</f>
        <v>0</v>
      </c>
    </row>
    <row r="109" spans="1:16" x14ac:dyDescent="0.25">
      <c r="B109" s="1" t="s">
        <v>55</v>
      </c>
      <c r="D109" s="8">
        <f>-D108</f>
        <v>-247</v>
      </c>
      <c r="F109" s="8">
        <f>-F108</f>
        <v>-600</v>
      </c>
      <c r="H109" s="8">
        <f>-H108</f>
        <v>-353</v>
      </c>
    </row>
    <row r="111" spans="1:16" x14ac:dyDescent="0.25">
      <c r="B111" s="1" t="s">
        <v>65</v>
      </c>
      <c r="D111" s="8">
        <f>D11+D31+D48+D65</f>
        <v>13544</v>
      </c>
      <c r="F111" s="8">
        <f>F11+F31+F48+F65</f>
        <v>9700</v>
      </c>
      <c r="H111" s="8">
        <f>F111-D111</f>
        <v>-3844</v>
      </c>
      <c r="N111" s="5">
        <f>D111/F111</f>
        <v>1.3962886597938144</v>
      </c>
    </row>
    <row r="113" spans="2:22" x14ac:dyDescent="0.25">
      <c r="B113" s="1" t="s">
        <v>14</v>
      </c>
      <c r="D113" s="8">
        <f>D22+D38+D55+D74+D86+D93+D102+D108</f>
        <v>21316</v>
      </c>
      <c r="F113" s="8">
        <v>30415</v>
      </c>
      <c r="H113" s="8">
        <f>F113-D113</f>
        <v>9099</v>
      </c>
      <c r="J113" s="1">
        <v>0</v>
      </c>
      <c r="L113" s="1">
        <v>9102</v>
      </c>
      <c r="N113" s="5">
        <f>D113/F113</f>
        <v>0.70083840210422488</v>
      </c>
    </row>
    <row r="115" spans="2:22" x14ac:dyDescent="0.25">
      <c r="B115" s="1" t="s">
        <v>31</v>
      </c>
      <c r="D115" s="8">
        <f>D111-D113</f>
        <v>-7772</v>
      </c>
      <c r="F115" s="8">
        <f>F111-F113</f>
        <v>-20715</v>
      </c>
      <c r="H115" s="8">
        <f>F115-D115</f>
        <v>-12943</v>
      </c>
      <c r="T115" s="8"/>
      <c r="U115" s="6"/>
      <c r="V115" s="8"/>
    </row>
    <row r="116" spans="2:22" x14ac:dyDescent="0.25">
      <c r="B116" s="1" t="s">
        <v>39</v>
      </c>
      <c r="D116" s="8">
        <f>P38+P55+P74+P93</f>
        <v>12123</v>
      </c>
      <c r="F116" s="8">
        <v>0</v>
      </c>
      <c r="H116" s="8">
        <f>F116-D116</f>
        <v>-12123</v>
      </c>
      <c r="T116" s="8"/>
      <c r="U116" s="6"/>
      <c r="V116" s="8"/>
    </row>
    <row r="117" spans="2:22" x14ac:dyDescent="0.25">
      <c r="B117" s="1" t="s">
        <v>32</v>
      </c>
      <c r="D117" s="8">
        <f>P11+P31+P48</f>
        <v>7783</v>
      </c>
      <c r="F117" s="8">
        <v>0</v>
      </c>
      <c r="H117" s="8">
        <f>F117-D117</f>
        <v>-7783</v>
      </c>
      <c r="T117" s="8"/>
      <c r="U117" s="6"/>
      <c r="V117" s="8"/>
    </row>
    <row r="118" spans="2:22" x14ac:dyDescent="0.25">
      <c r="B118" s="1" t="s">
        <v>33</v>
      </c>
      <c r="D118" s="8">
        <f>D115+D116-D117</f>
        <v>-3432</v>
      </c>
      <c r="F118" s="8">
        <f>F115+F116-F117</f>
        <v>-20715</v>
      </c>
      <c r="H118" s="8">
        <f>F118-D118</f>
        <v>-17283</v>
      </c>
      <c r="T118" s="8"/>
      <c r="U118" s="6"/>
      <c r="V118" s="8"/>
    </row>
  </sheetData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C2C5-A856-4740-A5A3-743B505A26DB}">
  <sheetPr>
    <pageSetUpPr fitToPage="1"/>
  </sheetPr>
  <dimension ref="A1:V118"/>
  <sheetViews>
    <sheetView workbookViewId="0">
      <selection activeCell="T90" sqref="T90"/>
    </sheetView>
  </sheetViews>
  <sheetFormatPr defaultRowHeight="15" x14ac:dyDescent="0.25"/>
  <cols>
    <col min="1" max="1" width="10.42578125" style="12" bestFit="1" customWidth="1"/>
    <col min="2" max="2" width="55.7109375" bestFit="1" customWidth="1"/>
    <col min="4" max="4" width="9.5703125" style="6" bestFit="1" customWidth="1"/>
    <col min="5" max="5" width="9.140625" style="6"/>
    <col min="6" max="6" width="9.5703125" style="6" bestFit="1" customWidth="1"/>
    <col min="7" max="7" width="9.140625" style="6"/>
    <col min="8" max="8" width="9.28515625" style="6" bestFit="1" customWidth="1"/>
    <col min="10" max="13" width="0" hidden="1" customWidth="1"/>
    <col min="16" max="16" width="9.140625" style="6"/>
    <col min="18" max="18" width="28.7109375" bestFit="1" customWidth="1"/>
  </cols>
  <sheetData>
    <row r="1" spans="1:18" ht="15.75" x14ac:dyDescent="0.25">
      <c r="A1" s="11" t="s">
        <v>0</v>
      </c>
      <c r="B1" s="3" t="s">
        <v>1</v>
      </c>
      <c r="Q1" s="1"/>
    </row>
    <row r="2" spans="1:18" x14ac:dyDescent="0.25">
      <c r="A2" s="11" t="s">
        <v>2</v>
      </c>
    </row>
    <row r="3" spans="1:18" x14ac:dyDescent="0.25">
      <c r="B3" s="1" t="s">
        <v>3</v>
      </c>
    </row>
    <row r="4" spans="1:18" x14ac:dyDescent="0.25">
      <c r="B4" s="1" t="s">
        <v>4</v>
      </c>
    </row>
    <row r="5" spans="1:18" s="4" customFormat="1" x14ac:dyDescent="0.25">
      <c r="A5" s="13"/>
      <c r="D5" s="7" t="s">
        <v>5</v>
      </c>
      <c r="E5" s="10"/>
      <c r="F5" s="7" t="s">
        <v>6</v>
      </c>
      <c r="G5" s="10"/>
      <c r="H5" s="7" t="s">
        <v>7</v>
      </c>
      <c r="J5" s="2" t="s">
        <v>8</v>
      </c>
      <c r="L5" s="2" t="s">
        <v>9</v>
      </c>
      <c r="N5" s="2" t="s">
        <v>10</v>
      </c>
      <c r="P5" s="7" t="s">
        <v>11</v>
      </c>
      <c r="R5" s="7" t="s">
        <v>127</v>
      </c>
    </row>
    <row r="6" spans="1:18" s="4" customFormat="1" x14ac:dyDescent="0.25">
      <c r="A6" s="13"/>
      <c r="D6" s="7" t="s">
        <v>12</v>
      </c>
      <c r="E6" s="10"/>
      <c r="F6" s="7" t="s">
        <v>13</v>
      </c>
      <c r="G6" s="10"/>
      <c r="H6" s="7" t="s">
        <v>13</v>
      </c>
      <c r="J6" s="2" t="s">
        <v>14</v>
      </c>
      <c r="L6" s="2" t="s">
        <v>15</v>
      </c>
      <c r="P6" s="7" t="s">
        <v>16</v>
      </c>
    </row>
    <row r="7" spans="1:18" x14ac:dyDescent="0.25">
      <c r="A7" s="14">
        <v>400</v>
      </c>
      <c r="B7" s="2" t="s">
        <v>17</v>
      </c>
    </row>
    <row r="8" spans="1:18" x14ac:dyDescent="0.25">
      <c r="A8" s="11">
        <v>1090</v>
      </c>
      <c r="B8" s="1" t="s">
        <v>18</v>
      </c>
      <c r="D8" s="8">
        <v>4382</v>
      </c>
      <c r="F8" s="8">
        <v>4300</v>
      </c>
      <c r="H8" s="8">
        <f>F8-D8</f>
        <v>-82</v>
      </c>
      <c r="N8" s="5">
        <f>D8/F8</f>
        <v>1.0190697674418605</v>
      </c>
    </row>
    <row r="9" spans="1:18" x14ac:dyDescent="0.25">
      <c r="A9" s="11">
        <v>1900</v>
      </c>
      <c r="B9" s="1" t="s">
        <v>19</v>
      </c>
      <c r="D9" s="8">
        <f>1219-P9</f>
        <v>1069</v>
      </c>
      <c r="F9" s="8">
        <v>0</v>
      </c>
      <c r="H9" s="8">
        <f>F9-D9</f>
        <v>-1069</v>
      </c>
      <c r="N9" s="5" t="e">
        <f>D9/F9</f>
        <v>#DIV/0!</v>
      </c>
      <c r="P9" s="8">
        <v>150</v>
      </c>
    </row>
    <row r="11" spans="1:18" x14ac:dyDescent="0.25">
      <c r="B11" s="1" t="s">
        <v>20</v>
      </c>
      <c r="D11" s="9">
        <f>SUM(D8:D10)</f>
        <v>5451</v>
      </c>
      <c r="F11" s="9">
        <f>SUM(F8:F10)</f>
        <v>4300</v>
      </c>
      <c r="H11" s="9">
        <f>SUM(H8:H10)</f>
        <v>-1151</v>
      </c>
      <c r="N11" s="5">
        <f>D11/F11</f>
        <v>1.2676744186046511</v>
      </c>
      <c r="P11" s="9">
        <f>SUM(P8:P10)</f>
        <v>150</v>
      </c>
    </row>
    <row r="12" spans="1:18" x14ac:dyDescent="0.25">
      <c r="B12" s="1"/>
      <c r="D12" s="8"/>
      <c r="F12" s="8"/>
      <c r="H12" s="8"/>
      <c r="N12" s="1"/>
      <c r="P12" s="8"/>
    </row>
    <row r="13" spans="1:18" x14ac:dyDescent="0.25">
      <c r="A13" s="11">
        <v>4350</v>
      </c>
      <c r="B13" s="1" t="s">
        <v>21</v>
      </c>
      <c r="D13" s="8">
        <v>0</v>
      </c>
      <c r="F13" s="8">
        <v>100</v>
      </c>
      <c r="H13" s="8">
        <f t="shared" ref="H13:H20" si="0">F13-D13</f>
        <v>100</v>
      </c>
      <c r="L13" s="1">
        <v>100</v>
      </c>
      <c r="N13" s="5">
        <f t="shared" ref="N13:N20" si="1">D13/F13</f>
        <v>0</v>
      </c>
    </row>
    <row r="14" spans="1:18" x14ac:dyDescent="0.25">
      <c r="A14" s="11">
        <v>4500</v>
      </c>
      <c r="B14" s="1" t="s">
        <v>22</v>
      </c>
      <c r="D14" s="8">
        <v>567</v>
      </c>
      <c r="F14" s="8">
        <v>2000</v>
      </c>
      <c r="H14" s="8">
        <f t="shared" si="0"/>
        <v>1433</v>
      </c>
      <c r="L14" s="1">
        <v>1433</v>
      </c>
      <c r="N14" s="5">
        <f t="shared" si="1"/>
        <v>0.28349999999999997</v>
      </c>
    </row>
    <row r="15" spans="1:18" x14ac:dyDescent="0.25">
      <c r="A15" s="11">
        <v>4510</v>
      </c>
      <c r="B15" s="1" t="s">
        <v>23</v>
      </c>
      <c r="D15" s="8">
        <v>161</v>
      </c>
      <c r="F15" s="8">
        <v>250</v>
      </c>
      <c r="H15" s="8">
        <f t="shared" si="0"/>
        <v>89</v>
      </c>
      <c r="L15" s="1">
        <v>89</v>
      </c>
      <c r="N15" s="5">
        <f t="shared" si="1"/>
        <v>0.64400000000000002</v>
      </c>
    </row>
    <row r="16" spans="1:18" x14ac:dyDescent="0.25">
      <c r="A16" s="11">
        <v>4520</v>
      </c>
      <c r="B16" s="1" t="s">
        <v>24</v>
      </c>
      <c r="D16" s="8">
        <v>211</v>
      </c>
      <c r="F16" s="8">
        <v>510</v>
      </c>
      <c r="H16" s="8">
        <f t="shared" si="0"/>
        <v>299</v>
      </c>
      <c r="L16" s="1">
        <v>299</v>
      </c>
      <c r="N16" s="5">
        <f t="shared" si="1"/>
        <v>0.4137254901960784</v>
      </c>
    </row>
    <row r="17" spans="1:18" x14ac:dyDescent="0.25">
      <c r="A17" s="11">
        <v>4521</v>
      </c>
      <c r="B17" s="1" t="s">
        <v>25</v>
      </c>
      <c r="D17" s="8">
        <v>1692</v>
      </c>
      <c r="F17" s="8">
        <v>4075</v>
      </c>
      <c r="H17" s="8">
        <f t="shared" si="0"/>
        <v>2383</v>
      </c>
      <c r="L17" s="1">
        <v>2383</v>
      </c>
      <c r="N17" s="5">
        <f t="shared" si="1"/>
        <v>0.41521472392638037</v>
      </c>
    </row>
    <row r="18" spans="1:18" x14ac:dyDescent="0.25">
      <c r="A18" s="11">
        <v>4540</v>
      </c>
      <c r="B18" s="1" t="s">
        <v>26</v>
      </c>
      <c r="D18" s="8">
        <v>1365</v>
      </c>
      <c r="F18" s="8">
        <v>1000</v>
      </c>
      <c r="H18" s="8">
        <f t="shared" si="0"/>
        <v>-365</v>
      </c>
      <c r="L18" s="1" t="s">
        <v>27</v>
      </c>
      <c r="N18" s="5">
        <f t="shared" si="1"/>
        <v>1.365</v>
      </c>
      <c r="R18" t="s">
        <v>126</v>
      </c>
    </row>
    <row r="19" spans="1:18" x14ac:dyDescent="0.25">
      <c r="A19" s="11">
        <v>4550</v>
      </c>
      <c r="B19" s="1" t="s">
        <v>28</v>
      </c>
      <c r="D19" s="8">
        <v>0</v>
      </c>
      <c r="F19" s="8">
        <v>1000</v>
      </c>
      <c r="H19" s="8">
        <f t="shared" si="0"/>
        <v>1000</v>
      </c>
      <c r="L19" s="1">
        <v>1000</v>
      </c>
      <c r="N19" s="5">
        <f t="shared" si="1"/>
        <v>0</v>
      </c>
    </row>
    <row r="20" spans="1:18" x14ac:dyDescent="0.25">
      <c r="A20" s="11">
        <v>4552</v>
      </c>
      <c r="B20" s="1" t="s">
        <v>29</v>
      </c>
      <c r="D20" s="8">
        <v>0</v>
      </c>
      <c r="F20" s="8">
        <v>200</v>
      </c>
      <c r="H20" s="8">
        <f t="shared" si="0"/>
        <v>200</v>
      </c>
      <c r="L20" s="1">
        <v>200</v>
      </c>
      <c r="N20" s="5">
        <f t="shared" si="1"/>
        <v>0</v>
      </c>
    </row>
    <row r="22" spans="1:18" x14ac:dyDescent="0.25">
      <c r="B22" s="1" t="s">
        <v>30</v>
      </c>
      <c r="D22" s="9">
        <f>SUM(D13:D21)</f>
        <v>3996</v>
      </c>
      <c r="F22" s="9">
        <f>SUM(F13:F21)</f>
        <v>9135</v>
      </c>
      <c r="H22" s="9">
        <f>SUM(H13:H21)</f>
        <v>5139</v>
      </c>
      <c r="J22" s="1">
        <v>0</v>
      </c>
      <c r="L22" s="1">
        <v>5140</v>
      </c>
      <c r="N22" s="5">
        <f>D22/F22</f>
        <v>0.43743842364532021</v>
      </c>
      <c r="P22" s="8">
        <v>0</v>
      </c>
    </row>
    <row r="23" spans="1:18" x14ac:dyDescent="0.25">
      <c r="B23" s="1" t="s">
        <v>31</v>
      </c>
      <c r="D23" s="8">
        <f>D11-D22</f>
        <v>1455</v>
      </c>
      <c r="F23" s="8">
        <f>F11-F22</f>
        <v>-4835</v>
      </c>
      <c r="H23" s="8">
        <f>H11-H22</f>
        <v>-6290</v>
      </c>
    </row>
    <row r="25" spans="1:18" hidden="1" x14ac:dyDescent="0.25">
      <c r="A25" s="11">
        <v>6001</v>
      </c>
      <c r="B25" s="1" t="s">
        <v>32</v>
      </c>
      <c r="D25" s="8">
        <f>P11</f>
        <v>150</v>
      </c>
      <c r="F25" s="8">
        <v>0</v>
      </c>
      <c r="H25" s="8">
        <f>F25-D25</f>
        <v>-150</v>
      </c>
    </row>
    <row r="26" spans="1:18" hidden="1" x14ac:dyDescent="0.25">
      <c r="B26" s="1" t="s">
        <v>33</v>
      </c>
      <c r="D26" s="8">
        <f>D23-D25</f>
        <v>1305</v>
      </c>
      <c r="F26" s="8">
        <f>F23-F25</f>
        <v>-4835</v>
      </c>
      <c r="H26" s="8">
        <f>H23-H25</f>
        <v>-6140</v>
      </c>
    </row>
    <row r="27" spans="1:18" hidden="1" x14ac:dyDescent="0.25"/>
    <row r="28" spans="1:18" x14ac:dyDescent="0.25">
      <c r="A28" s="14">
        <v>410</v>
      </c>
      <c r="B28" s="2" t="s">
        <v>34</v>
      </c>
    </row>
    <row r="29" spans="1:18" x14ac:dyDescent="0.25">
      <c r="A29" s="11">
        <v>1500</v>
      </c>
      <c r="B29" s="1" t="s">
        <v>35</v>
      </c>
      <c r="D29" s="8">
        <f>7568-P29</f>
        <v>0</v>
      </c>
      <c r="F29" s="8">
        <v>3000</v>
      </c>
      <c r="H29" s="8">
        <f>F29-D29</f>
        <v>3000</v>
      </c>
      <c r="N29" s="5">
        <f>D29/F29</f>
        <v>0</v>
      </c>
      <c r="P29" s="8">
        <v>7568</v>
      </c>
    </row>
    <row r="31" spans="1:18" x14ac:dyDescent="0.25">
      <c r="B31" s="1" t="s">
        <v>36</v>
      </c>
      <c r="D31" s="9">
        <f>SUM(D29:D30)</f>
        <v>0</v>
      </c>
      <c r="F31" s="9">
        <f>SUM(F29:F30)</f>
        <v>3000</v>
      </c>
      <c r="H31" s="9">
        <f>SUM(H29:H30)</f>
        <v>3000</v>
      </c>
      <c r="N31" s="5">
        <f>D31/F31</f>
        <v>0</v>
      </c>
      <c r="P31" s="9">
        <f>SUM(P29:P30)</f>
        <v>7568</v>
      </c>
    </row>
    <row r="32" spans="1:18" x14ac:dyDescent="0.25">
      <c r="B32" s="1"/>
      <c r="D32" s="8"/>
      <c r="F32" s="8"/>
      <c r="H32" s="8"/>
      <c r="N32" s="1"/>
      <c r="P32" s="8"/>
    </row>
    <row r="33" spans="1:16" x14ac:dyDescent="0.25">
      <c r="A33" s="11">
        <v>4500</v>
      </c>
      <c r="B33" s="1" t="s">
        <v>22</v>
      </c>
      <c r="D33" s="8">
        <v>0</v>
      </c>
      <c r="F33" s="8">
        <v>1500</v>
      </c>
      <c r="H33" s="8">
        <f>F33-D33</f>
        <v>1500</v>
      </c>
      <c r="L33" s="1">
        <v>1500</v>
      </c>
      <c r="N33" s="5">
        <f>D33/F33</f>
        <v>0</v>
      </c>
    </row>
    <row r="34" spans="1:16" x14ac:dyDescent="0.25">
      <c r="A34" s="11">
        <v>4520</v>
      </c>
      <c r="B34" s="1" t="s">
        <v>24</v>
      </c>
      <c r="D34" s="8">
        <v>1178</v>
      </c>
      <c r="F34" s="8">
        <v>2840</v>
      </c>
      <c r="H34" s="8">
        <f>F34-D34</f>
        <v>1662</v>
      </c>
      <c r="L34" s="1">
        <v>1662</v>
      </c>
      <c r="N34" s="5">
        <f>D34/F34</f>
        <v>0.4147887323943662</v>
      </c>
    </row>
    <row r="35" spans="1:16" x14ac:dyDescent="0.25">
      <c r="A35" s="11">
        <v>4530</v>
      </c>
      <c r="B35" s="1" t="s">
        <v>37</v>
      </c>
      <c r="D35" s="8">
        <f>51-P35</f>
        <v>0</v>
      </c>
      <c r="F35" s="8">
        <v>90</v>
      </c>
      <c r="H35" s="8">
        <f>F35-D35</f>
        <v>90</v>
      </c>
      <c r="L35" s="1">
        <v>39</v>
      </c>
      <c r="N35" s="5">
        <f>D35/F35</f>
        <v>0</v>
      </c>
      <c r="P35" s="8">
        <v>51</v>
      </c>
    </row>
    <row r="36" spans="1:16" x14ac:dyDescent="0.25">
      <c r="A36" s="11">
        <v>4540</v>
      </c>
      <c r="B36" s="1" t="s">
        <v>26</v>
      </c>
      <c r="D36" s="8">
        <f>138-P36</f>
        <v>0</v>
      </c>
      <c r="F36" s="8">
        <v>750</v>
      </c>
      <c r="H36" s="8">
        <f>F36-D36</f>
        <v>750</v>
      </c>
      <c r="L36" s="1">
        <v>613</v>
      </c>
      <c r="N36" s="5">
        <f>D36/F36</f>
        <v>0</v>
      </c>
      <c r="P36" s="8">
        <v>138</v>
      </c>
    </row>
    <row r="38" spans="1:16" x14ac:dyDescent="0.25">
      <c r="B38" s="1" t="s">
        <v>38</v>
      </c>
      <c r="D38" s="9">
        <f>SUM(D33:D37)</f>
        <v>1178</v>
      </c>
      <c r="F38" s="9">
        <f>SUM(F33:F37)</f>
        <v>5180</v>
      </c>
      <c r="H38" s="9">
        <f>SUM(H33:H37)</f>
        <v>4002</v>
      </c>
      <c r="J38" s="1">
        <v>0</v>
      </c>
      <c r="L38" s="1">
        <v>3814</v>
      </c>
      <c r="N38" s="5">
        <f>D38/F38</f>
        <v>0.22741312741312741</v>
      </c>
      <c r="P38" s="9">
        <f>SUM(P33:P37)</f>
        <v>189</v>
      </c>
    </row>
    <row r="39" spans="1:16" x14ac:dyDescent="0.25">
      <c r="B39" s="1" t="s">
        <v>31</v>
      </c>
      <c r="D39" s="8">
        <f>D31-D38</f>
        <v>-1178</v>
      </c>
      <c r="F39" s="8">
        <f>F31-F38</f>
        <v>-2180</v>
      </c>
      <c r="H39" s="8">
        <f>H31-H38</f>
        <v>-1002</v>
      </c>
    </row>
    <row r="41" spans="1:16" hidden="1" x14ac:dyDescent="0.25">
      <c r="A41" s="11">
        <v>6000</v>
      </c>
      <c r="B41" s="1" t="s">
        <v>39</v>
      </c>
      <c r="D41" s="8">
        <f>P38</f>
        <v>189</v>
      </c>
      <c r="F41" s="8">
        <v>0</v>
      </c>
      <c r="H41" s="8">
        <f>F41-D41</f>
        <v>-189</v>
      </c>
    </row>
    <row r="42" spans="1:16" hidden="1" x14ac:dyDescent="0.25">
      <c r="A42" s="11">
        <v>6001</v>
      </c>
      <c r="B42" s="1" t="s">
        <v>32</v>
      </c>
      <c r="D42" s="8">
        <f>P31</f>
        <v>7568</v>
      </c>
      <c r="F42" s="8">
        <v>0</v>
      </c>
      <c r="H42" s="8">
        <f>F42-D42</f>
        <v>-7568</v>
      </c>
    </row>
    <row r="43" spans="1:16" hidden="1" x14ac:dyDescent="0.25">
      <c r="B43" s="1" t="s">
        <v>33</v>
      </c>
      <c r="D43" s="8">
        <f>D39+D41-D42</f>
        <v>-8557</v>
      </c>
      <c r="F43" s="8">
        <f>F39+F41-F42</f>
        <v>-2180</v>
      </c>
      <c r="H43" s="8">
        <f>H39+H41-H42</f>
        <v>6377</v>
      </c>
    </row>
    <row r="44" spans="1:16" hidden="1" x14ac:dyDescent="0.25"/>
    <row r="45" spans="1:16" x14ac:dyDescent="0.25">
      <c r="A45" s="14">
        <v>420</v>
      </c>
      <c r="B45" s="2" t="s">
        <v>40</v>
      </c>
    </row>
    <row r="46" spans="1:16" x14ac:dyDescent="0.25">
      <c r="A46" s="11">
        <v>1400</v>
      </c>
      <c r="B46" s="1" t="s">
        <v>41</v>
      </c>
      <c r="D46" s="8">
        <f>65-P46</f>
        <v>0</v>
      </c>
      <c r="F46" s="8">
        <v>2400</v>
      </c>
      <c r="H46" s="8">
        <f>F46-D46</f>
        <v>2400</v>
      </c>
      <c r="N46" s="5">
        <f>D46/F46</f>
        <v>0</v>
      </c>
      <c r="P46" s="8">
        <v>65</v>
      </c>
    </row>
    <row r="48" spans="1:16" x14ac:dyDescent="0.25">
      <c r="B48" s="1" t="s">
        <v>42</v>
      </c>
      <c r="D48" s="9">
        <f>SUM(D46:D47)</f>
        <v>0</v>
      </c>
      <c r="F48" s="9">
        <f>SUM(F46:F47)</f>
        <v>2400</v>
      </c>
      <c r="H48" s="9">
        <f>SUM(H46:H47)</f>
        <v>2400</v>
      </c>
      <c r="N48" s="5">
        <f>D48/F48</f>
        <v>0</v>
      </c>
      <c r="P48" s="9">
        <f>SUM(P46:P47)</f>
        <v>65</v>
      </c>
    </row>
    <row r="49" spans="1:18" x14ac:dyDescent="0.25">
      <c r="B49" s="1"/>
      <c r="D49" s="8"/>
      <c r="F49" s="8"/>
      <c r="H49" s="8"/>
      <c r="N49" s="1"/>
      <c r="P49" s="8"/>
    </row>
    <row r="50" spans="1:18" x14ac:dyDescent="0.25">
      <c r="A50" s="11">
        <v>4280</v>
      </c>
      <c r="B50" s="1" t="s">
        <v>43</v>
      </c>
      <c r="D50" s="8">
        <f>394-P50</f>
        <v>0</v>
      </c>
      <c r="F50" s="8">
        <v>800</v>
      </c>
      <c r="H50" s="8">
        <f>F50-D50</f>
        <v>800</v>
      </c>
      <c r="L50" s="1">
        <v>406</v>
      </c>
      <c r="N50" s="5">
        <f>D50/F50</f>
        <v>0</v>
      </c>
      <c r="P50" s="8">
        <v>394</v>
      </c>
    </row>
    <row r="51" spans="1:18" x14ac:dyDescent="0.25">
      <c r="A51" s="11">
        <v>4500</v>
      </c>
      <c r="B51" s="1" t="s">
        <v>22</v>
      </c>
      <c r="D51" s="8">
        <v>0</v>
      </c>
      <c r="F51" s="8">
        <v>1000</v>
      </c>
      <c r="H51" s="8">
        <f>F51-D51</f>
        <v>1000</v>
      </c>
      <c r="L51" s="1">
        <v>1000</v>
      </c>
      <c r="N51" s="5">
        <f>D51/F51</f>
        <v>0</v>
      </c>
    </row>
    <row r="52" spans="1:18" x14ac:dyDescent="0.25">
      <c r="A52" s="11">
        <v>4530</v>
      </c>
      <c r="B52" s="1" t="s">
        <v>37</v>
      </c>
      <c r="D52" s="8">
        <f>661-P52</f>
        <v>0</v>
      </c>
      <c r="F52" s="8">
        <v>1260</v>
      </c>
      <c r="H52" s="8">
        <f>F52-D52</f>
        <v>1260</v>
      </c>
      <c r="L52" s="1">
        <v>599</v>
      </c>
      <c r="N52" s="5">
        <f>D52/F52</f>
        <v>0</v>
      </c>
      <c r="P52" s="8">
        <v>661</v>
      </c>
    </row>
    <row r="53" spans="1:18" x14ac:dyDescent="0.25">
      <c r="A53" s="11">
        <v>4540</v>
      </c>
      <c r="B53" s="1" t="s">
        <v>26</v>
      </c>
      <c r="D53" s="8">
        <v>488</v>
      </c>
      <c r="F53" s="8">
        <v>0</v>
      </c>
      <c r="H53" s="8">
        <f>F53-D53</f>
        <v>-488</v>
      </c>
      <c r="L53" s="1" t="s">
        <v>44</v>
      </c>
      <c r="N53" s="5" t="e">
        <f>D53/F53</f>
        <v>#DIV/0!</v>
      </c>
    </row>
    <row r="55" spans="1:18" x14ac:dyDescent="0.25">
      <c r="B55" s="1" t="s">
        <v>45</v>
      </c>
      <c r="D55" s="9">
        <f>SUM(D50:D54)</f>
        <v>488</v>
      </c>
      <c r="F55" s="9">
        <f>SUM(F50:F54)</f>
        <v>3060</v>
      </c>
      <c r="H55" s="9">
        <f>SUM(H50:H54)</f>
        <v>2572</v>
      </c>
      <c r="J55" s="1">
        <v>0</v>
      </c>
      <c r="L55" s="1">
        <v>3814</v>
      </c>
      <c r="N55" s="5">
        <f>D55/F55</f>
        <v>0.15947712418300652</v>
      </c>
      <c r="P55" s="9">
        <f>SUM(P50:P54)</f>
        <v>1055</v>
      </c>
    </row>
    <row r="56" spans="1:18" x14ac:dyDescent="0.25">
      <c r="B56" s="1" t="s">
        <v>31</v>
      </c>
      <c r="D56" s="8">
        <f>D48-D55</f>
        <v>-488</v>
      </c>
      <c r="F56" s="8">
        <f>F48-F55</f>
        <v>-660</v>
      </c>
      <c r="H56" s="8">
        <f>H48-H55</f>
        <v>-172</v>
      </c>
    </row>
    <row r="58" spans="1:18" hidden="1" x14ac:dyDescent="0.25">
      <c r="A58" s="11">
        <v>6000</v>
      </c>
      <c r="B58" s="1" t="s">
        <v>39</v>
      </c>
      <c r="D58" s="8">
        <f>P55</f>
        <v>1055</v>
      </c>
      <c r="F58" s="8">
        <v>0</v>
      </c>
      <c r="H58" s="8">
        <f>F58-D58</f>
        <v>-1055</v>
      </c>
    </row>
    <row r="59" spans="1:18" hidden="1" x14ac:dyDescent="0.25">
      <c r="A59" s="11">
        <v>6001</v>
      </c>
      <c r="B59" s="1" t="s">
        <v>32</v>
      </c>
      <c r="D59" s="8">
        <f>P48</f>
        <v>65</v>
      </c>
      <c r="F59" s="8">
        <v>0</v>
      </c>
      <c r="H59" s="8">
        <f>F59-D59</f>
        <v>-65</v>
      </c>
    </row>
    <row r="60" spans="1:18" hidden="1" x14ac:dyDescent="0.25">
      <c r="B60" s="1" t="s">
        <v>33</v>
      </c>
      <c r="D60" s="8">
        <f>D56+D58-D59</f>
        <v>502</v>
      </c>
      <c r="F60" s="8">
        <f>F56+F58-F59</f>
        <v>-660</v>
      </c>
      <c r="H60" s="8">
        <f>H56+H58-H59</f>
        <v>-1162</v>
      </c>
    </row>
    <row r="61" spans="1:18" hidden="1" x14ac:dyDescent="0.25"/>
    <row r="62" spans="1:18" x14ac:dyDescent="0.25">
      <c r="A62" s="14">
        <v>430</v>
      </c>
      <c r="B62" s="2" t="s">
        <v>46</v>
      </c>
    </row>
    <row r="63" spans="1:18" x14ac:dyDescent="0.25">
      <c r="A63" s="11">
        <v>1350</v>
      </c>
      <c r="B63" s="1" t="s">
        <v>47</v>
      </c>
      <c r="D63" s="8">
        <v>310</v>
      </c>
      <c r="F63" s="8">
        <v>0</v>
      </c>
      <c r="H63" s="8">
        <f>F63-D63</f>
        <v>-310</v>
      </c>
      <c r="N63" s="5" t="e">
        <f>D63/F63</f>
        <v>#DIV/0!</v>
      </c>
      <c r="R63" t="s">
        <v>138</v>
      </c>
    </row>
    <row r="65" spans="1:18" x14ac:dyDescent="0.25">
      <c r="B65" s="1" t="s">
        <v>48</v>
      </c>
      <c r="D65" s="9">
        <f>SUM(D63:D64)</f>
        <v>310</v>
      </c>
      <c r="F65" s="9">
        <f>SUM(F63:F64)</f>
        <v>0</v>
      </c>
      <c r="H65" s="9">
        <f>SUM(H63:H64)</f>
        <v>-310</v>
      </c>
      <c r="N65" s="5" t="e">
        <f>D65/F65</f>
        <v>#DIV/0!</v>
      </c>
      <c r="P65" s="9">
        <f>SUM(P63:P64)</f>
        <v>0</v>
      </c>
    </row>
    <row r="66" spans="1:18" x14ac:dyDescent="0.25">
      <c r="B66" s="1"/>
      <c r="D66" s="8"/>
      <c r="F66" s="8"/>
      <c r="H66" s="8"/>
      <c r="P66" s="8"/>
    </row>
    <row r="67" spans="1:18" x14ac:dyDescent="0.25">
      <c r="A67" s="11">
        <v>4280</v>
      </c>
      <c r="B67" s="1" t="s">
        <v>43</v>
      </c>
      <c r="D67" s="8">
        <v>551</v>
      </c>
      <c r="F67" s="8">
        <v>1200</v>
      </c>
      <c r="H67" s="8">
        <f t="shared" ref="H67:H72" si="2">F67-D67</f>
        <v>649</v>
      </c>
      <c r="L67" s="1">
        <v>649</v>
      </c>
      <c r="N67" s="5">
        <f t="shared" ref="N67:N72" si="3">D67/F67</f>
        <v>0.45916666666666667</v>
      </c>
    </row>
    <row r="68" spans="1:18" x14ac:dyDescent="0.25">
      <c r="A68" s="11">
        <v>4350</v>
      </c>
      <c r="B68" s="1" t="s">
        <v>21</v>
      </c>
      <c r="D68" s="8">
        <f>1050-P68</f>
        <v>0</v>
      </c>
      <c r="F68" s="8">
        <v>0</v>
      </c>
      <c r="H68" s="8">
        <f t="shared" si="2"/>
        <v>0</v>
      </c>
      <c r="L68" s="1" t="s">
        <v>49</v>
      </c>
      <c r="N68" s="5" t="e">
        <f t="shared" si="3"/>
        <v>#DIV/0!</v>
      </c>
      <c r="P68" s="8">
        <v>1050</v>
      </c>
      <c r="R68" t="s">
        <v>139</v>
      </c>
    </row>
    <row r="69" spans="1:18" x14ac:dyDescent="0.25">
      <c r="A69" s="11">
        <v>4500</v>
      </c>
      <c r="B69" s="1" t="s">
        <v>22</v>
      </c>
      <c r="D69" s="8">
        <f>6688-P69</f>
        <v>0</v>
      </c>
      <c r="F69" s="8">
        <v>1500</v>
      </c>
      <c r="H69" s="8">
        <f t="shared" si="2"/>
        <v>1500</v>
      </c>
      <c r="L69" s="1" t="s">
        <v>50</v>
      </c>
      <c r="N69" s="5">
        <f t="shared" si="3"/>
        <v>0</v>
      </c>
      <c r="P69" s="8">
        <v>6688</v>
      </c>
      <c r="R69" t="s">
        <v>140</v>
      </c>
    </row>
    <row r="70" spans="1:18" x14ac:dyDescent="0.25">
      <c r="A70" s="11">
        <v>4510</v>
      </c>
      <c r="B70" s="1" t="s">
        <v>23</v>
      </c>
      <c r="D70" s="8">
        <v>0</v>
      </c>
      <c r="F70" s="8">
        <v>100</v>
      </c>
      <c r="H70" s="8">
        <f t="shared" si="2"/>
        <v>100</v>
      </c>
      <c r="L70" s="1">
        <v>100</v>
      </c>
      <c r="N70" s="5">
        <f t="shared" si="3"/>
        <v>0</v>
      </c>
    </row>
    <row r="71" spans="1:18" x14ac:dyDescent="0.25">
      <c r="A71" s="11">
        <v>4520</v>
      </c>
      <c r="B71" s="1" t="s">
        <v>24</v>
      </c>
      <c r="D71" s="8">
        <v>550</v>
      </c>
      <c r="F71" s="8">
        <v>1325</v>
      </c>
      <c r="H71" s="8">
        <f t="shared" si="2"/>
        <v>775</v>
      </c>
      <c r="L71" s="1">
        <v>775</v>
      </c>
      <c r="N71" s="5">
        <f t="shared" si="3"/>
        <v>0.41509433962264153</v>
      </c>
    </row>
    <row r="72" spans="1:18" x14ac:dyDescent="0.25">
      <c r="A72" s="11">
        <v>4540</v>
      </c>
      <c r="B72" s="1" t="s">
        <v>26</v>
      </c>
      <c r="D72" s="8">
        <v>138</v>
      </c>
      <c r="F72" s="8">
        <v>500</v>
      </c>
      <c r="H72" s="8">
        <f t="shared" si="2"/>
        <v>362</v>
      </c>
      <c r="L72" s="1">
        <v>363</v>
      </c>
      <c r="N72" s="5">
        <f t="shared" si="3"/>
        <v>0.27600000000000002</v>
      </c>
    </row>
    <row r="74" spans="1:18" x14ac:dyDescent="0.25">
      <c r="B74" s="1" t="s">
        <v>51</v>
      </c>
      <c r="D74" s="9">
        <f>SUM(D67:D73)</f>
        <v>1239</v>
      </c>
      <c r="F74" s="9">
        <f>SUM(F67:F73)</f>
        <v>4625</v>
      </c>
      <c r="H74" s="9">
        <f>SUM(H67:H73)</f>
        <v>3386</v>
      </c>
      <c r="J74" s="1">
        <v>0</v>
      </c>
      <c r="L74" s="1" t="s">
        <v>52</v>
      </c>
      <c r="N74" s="5">
        <f>D74/F74</f>
        <v>0.26789189189189189</v>
      </c>
      <c r="P74" s="9">
        <f>SUM(P67:P73)</f>
        <v>7738</v>
      </c>
    </row>
    <row r="75" spans="1:18" x14ac:dyDescent="0.25">
      <c r="B75" s="1" t="s">
        <v>31</v>
      </c>
      <c r="D75" s="8">
        <f>D74-D65</f>
        <v>929</v>
      </c>
      <c r="F75" s="8">
        <f>F74-F65</f>
        <v>4625</v>
      </c>
      <c r="H75" s="8">
        <f>F75-D75</f>
        <v>3696</v>
      </c>
    </row>
    <row r="77" spans="1:18" hidden="1" x14ac:dyDescent="0.25">
      <c r="A77" s="11">
        <v>6000</v>
      </c>
      <c r="B77" s="1" t="s">
        <v>39</v>
      </c>
      <c r="D77" s="8">
        <f>P74</f>
        <v>7738</v>
      </c>
      <c r="F77" s="8">
        <v>0</v>
      </c>
      <c r="H77" s="8">
        <f>F77-D77</f>
        <v>-7738</v>
      </c>
    </row>
    <row r="78" spans="1:18" hidden="1" x14ac:dyDescent="0.25">
      <c r="B78" s="1" t="s">
        <v>33</v>
      </c>
      <c r="D78" s="8">
        <f>D77-D75</f>
        <v>6809</v>
      </c>
      <c r="F78" s="8">
        <f>F77-F75</f>
        <v>-4625</v>
      </c>
      <c r="H78" s="8">
        <f>H77-H75</f>
        <v>-11434</v>
      </c>
    </row>
    <row r="79" spans="1:18" hidden="1" x14ac:dyDescent="0.25"/>
    <row r="80" spans="1:18" x14ac:dyDescent="0.25">
      <c r="A80" s="14">
        <v>440</v>
      </c>
      <c r="B80" s="2" t="s">
        <v>53</v>
      </c>
    </row>
    <row r="81" spans="1:18" x14ac:dyDescent="0.25">
      <c r="A81" s="11">
        <v>4500</v>
      </c>
      <c r="B81" s="1" t="s">
        <v>22</v>
      </c>
      <c r="D81" s="8">
        <v>412</v>
      </c>
      <c r="F81" s="8">
        <v>2000</v>
      </c>
      <c r="H81" s="8">
        <f>F81-D81</f>
        <v>1588</v>
      </c>
      <c r="L81" s="1">
        <v>1588</v>
      </c>
      <c r="N81" s="5">
        <f>D81/F81</f>
        <v>0.20599999999999999</v>
      </c>
    </row>
    <row r="82" spans="1:18" x14ac:dyDescent="0.25">
      <c r="A82" s="11">
        <v>4520</v>
      </c>
      <c r="B82" s="1" t="s">
        <v>24</v>
      </c>
      <c r="D82" s="8">
        <v>326</v>
      </c>
      <c r="F82" s="8">
        <v>785</v>
      </c>
      <c r="H82" s="8">
        <f>F82-D82</f>
        <v>459</v>
      </c>
      <c r="L82" s="1">
        <v>459</v>
      </c>
      <c r="N82" s="5">
        <f>D82/F82</f>
        <v>0.41528662420382167</v>
      </c>
    </row>
    <row r="83" spans="1:18" x14ac:dyDescent="0.25">
      <c r="A83" s="11">
        <v>4530</v>
      </c>
      <c r="B83" s="1" t="s">
        <v>37</v>
      </c>
      <c r="D83" s="8">
        <v>26</v>
      </c>
      <c r="F83" s="8">
        <v>30</v>
      </c>
      <c r="H83" s="8">
        <f>F83-D83</f>
        <v>4</v>
      </c>
      <c r="L83" s="1">
        <v>4</v>
      </c>
      <c r="N83" s="5">
        <f>D83/F83</f>
        <v>0.8666666666666667</v>
      </c>
    </row>
    <row r="84" spans="1:18" x14ac:dyDescent="0.25">
      <c r="A84" s="11">
        <v>4540</v>
      </c>
      <c r="B84" s="1" t="s">
        <v>26</v>
      </c>
      <c r="D84" s="8">
        <v>335</v>
      </c>
      <c r="F84" s="8">
        <v>2000</v>
      </c>
      <c r="H84" s="8">
        <f>F84-D84</f>
        <v>1665</v>
      </c>
      <c r="L84" s="1">
        <v>1665</v>
      </c>
      <c r="N84" s="5">
        <f>D84/F84</f>
        <v>0.16750000000000001</v>
      </c>
    </row>
    <row r="86" spans="1:18" x14ac:dyDescent="0.25">
      <c r="B86" s="1" t="s">
        <v>54</v>
      </c>
      <c r="D86" s="9">
        <f>SUM(D81:D85)</f>
        <v>1099</v>
      </c>
      <c r="F86" s="9">
        <f>SUM(F81:F85)</f>
        <v>4815</v>
      </c>
      <c r="H86" s="9">
        <f>SUM(H81:H85)</f>
        <v>3716</v>
      </c>
      <c r="J86" s="1">
        <v>0</v>
      </c>
      <c r="L86" s="1">
        <v>3814</v>
      </c>
      <c r="N86" s="5">
        <f>D86/F86</f>
        <v>0.22824506749740395</v>
      </c>
      <c r="P86" s="9">
        <f>SUM(P81:P85)</f>
        <v>0</v>
      </c>
    </row>
    <row r="87" spans="1:18" x14ac:dyDescent="0.25">
      <c r="B87" s="1" t="s">
        <v>55</v>
      </c>
      <c r="D87" s="8">
        <f>D79-D86</f>
        <v>-1099</v>
      </c>
      <c r="F87" s="8">
        <f>F79-F86</f>
        <v>-4815</v>
      </c>
      <c r="H87" s="8">
        <f>H79-H86</f>
        <v>-3716</v>
      </c>
    </row>
    <row r="89" spans="1:18" x14ac:dyDescent="0.25">
      <c r="A89" s="14">
        <v>450</v>
      </c>
      <c r="B89" s="2" t="s">
        <v>56</v>
      </c>
    </row>
    <row r="90" spans="1:18" x14ac:dyDescent="0.25">
      <c r="A90" s="11">
        <v>4500</v>
      </c>
      <c r="B90" s="1" t="s">
        <v>22</v>
      </c>
      <c r="D90" s="8">
        <f>3356-P90</f>
        <v>215</v>
      </c>
      <c r="F90" s="8">
        <v>1000</v>
      </c>
      <c r="H90" s="8">
        <f>F90-D90</f>
        <v>785</v>
      </c>
      <c r="L90" s="1" t="s">
        <v>57</v>
      </c>
      <c r="N90" s="5">
        <f>D90/F90</f>
        <v>0.215</v>
      </c>
      <c r="P90" s="8">
        <v>3141</v>
      </c>
      <c r="R90" t="s">
        <v>141</v>
      </c>
    </row>
    <row r="91" spans="1:18" x14ac:dyDescent="0.25">
      <c r="A91" s="11">
        <v>4540</v>
      </c>
      <c r="B91" s="1" t="s">
        <v>26</v>
      </c>
      <c r="D91" s="8">
        <v>138</v>
      </c>
      <c r="F91" s="8">
        <v>2000</v>
      </c>
      <c r="H91" s="8">
        <f>F91-D91</f>
        <v>1862</v>
      </c>
      <c r="L91" s="1">
        <v>1863</v>
      </c>
      <c r="N91" s="5">
        <f>D91/F91</f>
        <v>6.9000000000000006E-2</v>
      </c>
    </row>
    <row r="93" spans="1:18" x14ac:dyDescent="0.25">
      <c r="B93" s="1" t="s">
        <v>58</v>
      </c>
      <c r="D93" s="9">
        <f>SUM(D90:D92)</f>
        <v>353</v>
      </c>
      <c r="F93" s="9">
        <f>SUM(F90:F92)</f>
        <v>3000</v>
      </c>
      <c r="H93" s="9">
        <f>SUM(H90:H92)</f>
        <v>2647</v>
      </c>
      <c r="J93" s="1">
        <v>0</v>
      </c>
      <c r="L93" s="1" t="s">
        <v>59</v>
      </c>
      <c r="N93" s="5">
        <f>D93/F93</f>
        <v>0.11766666666666667</v>
      </c>
      <c r="P93" s="9">
        <f>SUM(P90:P92)</f>
        <v>3141</v>
      </c>
    </row>
    <row r="94" spans="1:18" x14ac:dyDescent="0.25">
      <c r="B94" s="1" t="s">
        <v>55</v>
      </c>
      <c r="D94" s="8">
        <f>-D93</f>
        <v>-353</v>
      </c>
      <c r="F94" s="8">
        <f>-F93</f>
        <v>-3000</v>
      </c>
      <c r="H94" s="8">
        <f>-H93</f>
        <v>-2647</v>
      </c>
    </row>
    <row r="96" spans="1:18" hidden="1" x14ac:dyDescent="0.25">
      <c r="A96" s="11">
        <v>6000</v>
      </c>
      <c r="B96" s="1" t="s">
        <v>39</v>
      </c>
      <c r="D96" s="8">
        <f>P93</f>
        <v>3141</v>
      </c>
      <c r="F96" s="8">
        <v>0</v>
      </c>
      <c r="H96" s="8">
        <f>F96-D96</f>
        <v>-3141</v>
      </c>
    </row>
    <row r="97" spans="1:16" hidden="1" x14ac:dyDescent="0.25">
      <c r="B97" s="1" t="s">
        <v>33</v>
      </c>
      <c r="D97" s="8">
        <f>D96-D93</f>
        <v>2788</v>
      </c>
      <c r="F97" s="8">
        <f>F96-F93</f>
        <v>-3000</v>
      </c>
      <c r="H97" s="8">
        <f>F97-D97</f>
        <v>-5788</v>
      </c>
    </row>
    <row r="98" spans="1:16" hidden="1" x14ac:dyDescent="0.25"/>
    <row r="99" spans="1:16" x14ac:dyDescent="0.25">
      <c r="A99" s="14">
        <v>460</v>
      </c>
      <c r="B99" s="2" t="s">
        <v>60</v>
      </c>
    </row>
    <row r="100" spans="1:16" x14ac:dyDescent="0.25">
      <c r="A100" s="11">
        <v>4520</v>
      </c>
      <c r="B100" s="1" t="s">
        <v>24</v>
      </c>
      <c r="D100" s="8">
        <v>593</v>
      </c>
      <c r="F100" s="8">
        <v>0</v>
      </c>
      <c r="H100" s="8">
        <f>F100-D100</f>
        <v>-593</v>
      </c>
      <c r="L100" s="1" t="s">
        <v>61</v>
      </c>
      <c r="N100" s="5" t="e">
        <f>D100/F100</f>
        <v>#DIV/0!</v>
      </c>
    </row>
    <row r="102" spans="1:16" x14ac:dyDescent="0.25">
      <c r="B102" s="1" t="s">
        <v>62</v>
      </c>
      <c r="D102" s="9">
        <f>SUM(D100:D101)</f>
        <v>593</v>
      </c>
      <c r="F102" s="9">
        <f>SUM(F100:F101)</f>
        <v>0</v>
      </c>
      <c r="H102" s="9">
        <f>SUM(H100:H101)</f>
        <v>-593</v>
      </c>
      <c r="J102" s="1">
        <v>0</v>
      </c>
      <c r="L102" s="1" t="s">
        <v>61</v>
      </c>
      <c r="P102" s="9">
        <f>SUM(P100:P101)</f>
        <v>0</v>
      </c>
    </row>
    <row r="103" spans="1:16" x14ac:dyDescent="0.25">
      <c r="B103" s="1" t="s">
        <v>55</v>
      </c>
      <c r="D103" s="8">
        <f>-D102</f>
        <v>-593</v>
      </c>
      <c r="F103" s="8">
        <f>-F102</f>
        <v>0</v>
      </c>
      <c r="H103" s="8">
        <f>-H102</f>
        <v>593</v>
      </c>
    </row>
    <row r="105" spans="1:16" x14ac:dyDescent="0.25">
      <c r="A105" s="14">
        <v>470</v>
      </c>
      <c r="B105" s="2" t="s">
        <v>63</v>
      </c>
    </row>
    <row r="106" spans="1:16" x14ac:dyDescent="0.25">
      <c r="A106" s="11">
        <v>4520</v>
      </c>
      <c r="B106" s="1" t="s">
        <v>24</v>
      </c>
      <c r="D106" s="8">
        <v>247</v>
      </c>
      <c r="F106" s="8">
        <v>600</v>
      </c>
      <c r="H106" s="8">
        <f>F106-D106</f>
        <v>353</v>
      </c>
      <c r="L106" s="1">
        <v>353</v>
      </c>
      <c r="N106" s="5">
        <f>D106/F106</f>
        <v>0.41166666666666668</v>
      </c>
    </row>
    <row r="108" spans="1:16" x14ac:dyDescent="0.25">
      <c r="B108" s="1" t="s">
        <v>64</v>
      </c>
      <c r="D108" s="9">
        <f>SUM(D106:D107)</f>
        <v>247</v>
      </c>
      <c r="F108" s="9">
        <f>SUM(F106:F107)</f>
        <v>600</v>
      </c>
      <c r="H108" s="9">
        <f>SUM(H106:H107)</f>
        <v>353</v>
      </c>
      <c r="J108" s="1">
        <v>0</v>
      </c>
      <c r="L108" s="1">
        <v>353</v>
      </c>
      <c r="N108" s="5">
        <f>D108/F108</f>
        <v>0.41166666666666668</v>
      </c>
      <c r="P108" s="9">
        <f>SUM(P106:P107)</f>
        <v>0</v>
      </c>
    </row>
    <row r="109" spans="1:16" x14ac:dyDescent="0.25">
      <c r="B109" s="1" t="s">
        <v>55</v>
      </c>
      <c r="D109" s="8">
        <f>-D108</f>
        <v>-247</v>
      </c>
      <c r="F109" s="8">
        <f>-F108</f>
        <v>-600</v>
      </c>
      <c r="H109" s="8">
        <f>-H108</f>
        <v>-353</v>
      </c>
    </row>
    <row r="111" spans="1:16" ht="15.75" thickBot="1" x14ac:dyDescent="0.3">
      <c r="B111" s="1" t="s">
        <v>65</v>
      </c>
      <c r="D111" s="75">
        <f>D11+D31+D48+D65</f>
        <v>5761</v>
      </c>
      <c r="F111" s="75">
        <f>F11+F32+F49+F65</f>
        <v>4300</v>
      </c>
      <c r="H111" s="8">
        <f>F111-D111</f>
        <v>-1461</v>
      </c>
      <c r="N111" s="5">
        <f>D111/F111</f>
        <v>1.339767441860465</v>
      </c>
    </row>
    <row r="113" spans="2:22" ht="15.75" thickBot="1" x14ac:dyDescent="0.3">
      <c r="B113" s="1" t="s">
        <v>14</v>
      </c>
      <c r="D113" s="75">
        <f>D22+D38+D55+D74+D86+D93+D102+D108</f>
        <v>9193</v>
      </c>
      <c r="F113" s="75">
        <v>30415</v>
      </c>
      <c r="H113" s="8">
        <f>F113-D113</f>
        <v>21222</v>
      </c>
      <c r="J113" s="1">
        <v>0</v>
      </c>
      <c r="L113" s="1">
        <v>9102</v>
      </c>
      <c r="N113" s="5">
        <f>D113/F113</f>
        <v>0.30225217820154526</v>
      </c>
    </row>
    <row r="115" spans="2:22" x14ac:dyDescent="0.25">
      <c r="B115" s="1" t="s">
        <v>31</v>
      </c>
      <c r="D115" s="8">
        <f>D111-D113</f>
        <v>-3432</v>
      </c>
      <c r="F115" s="8">
        <f>F111-F113</f>
        <v>-26115</v>
      </c>
      <c r="H115" s="8">
        <f>F115-D115</f>
        <v>-22683</v>
      </c>
      <c r="T115" s="8"/>
      <c r="U115" s="6"/>
      <c r="V115" s="8"/>
    </row>
    <row r="116" spans="2:22" hidden="1" x14ac:dyDescent="0.25">
      <c r="B116" s="1" t="s">
        <v>39</v>
      </c>
      <c r="D116" s="8">
        <f>P38+P55+P74+P93</f>
        <v>12123</v>
      </c>
      <c r="F116" s="8">
        <v>0</v>
      </c>
      <c r="H116" s="8">
        <f>F116-D116</f>
        <v>-12123</v>
      </c>
      <c r="T116" s="8"/>
      <c r="U116" s="6"/>
      <c r="V116" s="8"/>
    </row>
    <row r="117" spans="2:22" hidden="1" x14ac:dyDescent="0.25">
      <c r="B117" s="1" t="s">
        <v>32</v>
      </c>
      <c r="D117" s="8">
        <f>P11+P31+P48</f>
        <v>7783</v>
      </c>
      <c r="F117" s="8">
        <v>0</v>
      </c>
      <c r="H117" s="8">
        <f>F117-D117</f>
        <v>-7783</v>
      </c>
      <c r="T117" s="8"/>
      <c r="U117" s="6"/>
      <c r="V117" s="8"/>
    </row>
    <row r="118" spans="2:22" hidden="1" x14ac:dyDescent="0.25">
      <c r="B118" s="1" t="s">
        <v>33</v>
      </c>
      <c r="D118" s="8">
        <f>D115+D116-D117</f>
        <v>908</v>
      </c>
      <c r="F118" s="8">
        <f>F115+F116-F117</f>
        <v>-26115</v>
      </c>
      <c r="H118" s="8">
        <f>F118-D118</f>
        <v>-27023</v>
      </c>
      <c r="T118" s="8"/>
      <c r="U118" s="6"/>
      <c r="V118" s="8"/>
    </row>
  </sheetData>
  <pageMargins left="0.23622047244094491" right="0.11811023622047245" top="0.23622047244094491" bottom="0.23622047244094491" header="0.31496062992125984" footer="0.31496062992125984"/>
  <pageSetup paperSize="9" scale="67" fitToHeight="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59BFB-AF33-4932-A6D7-37AEF2168740}">
  <dimension ref="A1:L73"/>
  <sheetViews>
    <sheetView tabSelected="1" workbookViewId="0">
      <selection activeCell="H7" sqref="H7"/>
    </sheetView>
  </sheetViews>
  <sheetFormatPr defaultRowHeight="15" x14ac:dyDescent="0.25"/>
  <cols>
    <col min="1" max="1" width="28.7109375" customWidth="1"/>
    <col min="2" max="2" width="11.5703125" customWidth="1"/>
    <col min="3" max="3" width="8.7109375" customWidth="1"/>
    <col min="4" max="4" width="20.28515625" customWidth="1"/>
    <col min="5" max="5" width="18.140625" customWidth="1"/>
    <col min="6" max="6" width="12" style="28" customWidth="1"/>
    <col min="7" max="7" width="10.28515625" style="21" bestFit="1" customWidth="1"/>
    <col min="8" max="8" width="6" customWidth="1"/>
    <col min="9" max="9" width="12.5703125" bestFit="1" customWidth="1"/>
  </cols>
  <sheetData>
    <row r="1" spans="1:9" s="15" customFormat="1" ht="15.75" x14ac:dyDescent="0.25">
      <c r="A1" s="15" t="s">
        <v>66</v>
      </c>
      <c r="B1" s="76">
        <v>46265</v>
      </c>
      <c r="C1" s="77"/>
      <c r="D1" s="78" t="s">
        <v>46</v>
      </c>
      <c r="E1" s="79"/>
    </row>
    <row r="2" spans="1:9" x14ac:dyDescent="0.25">
      <c r="B2" s="80"/>
      <c r="C2" s="80"/>
      <c r="D2" s="81" t="s">
        <v>67</v>
      </c>
      <c r="E2" s="81">
        <v>551.25</v>
      </c>
    </row>
    <row r="3" spans="1:9" x14ac:dyDescent="0.25">
      <c r="A3" s="22" t="s">
        <v>106</v>
      </c>
      <c r="B3" s="82">
        <v>31.23</v>
      </c>
      <c r="C3" s="83"/>
      <c r="D3" s="84" t="s">
        <v>130</v>
      </c>
      <c r="E3" s="81">
        <v>137.5</v>
      </c>
      <c r="G3"/>
    </row>
    <row r="4" spans="1:9" x14ac:dyDescent="0.25">
      <c r="A4" s="22" t="s">
        <v>68</v>
      </c>
      <c r="B4" s="82">
        <v>16.45</v>
      </c>
      <c r="C4" s="83"/>
      <c r="D4" s="81"/>
      <c r="E4" s="81"/>
      <c r="I4" s="23"/>
    </row>
    <row r="5" spans="1:9" x14ac:dyDescent="0.25">
      <c r="A5" s="24" t="s">
        <v>107</v>
      </c>
      <c r="B5" s="81">
        <v>100</v>
      </c>
      <c r="C5" s="83"/>
      <c r="D5" s="81"/>
      <c r="E5" s="81"/>
    </row>
    <row r="6" spans="1:9" x14ac:dyDescent="0.25">
      <c r="A6" s="24" t="s">
        <v>120</v>
      </c>
      <c r="B6" s="81">
        <v>44.47</v>
      </c>
      <c r="C6" s="83"/>
      <c r="D6" s="81"/>
      <c r="E6" s="81"/>
      <c r="I6" s="23"/>
    </row>
    <row r="7" spans="1:9" x14ac:dyDescent="0.25">
      <c r="A7" s="24" t="s">
        <v>108</v>
      </c>
      <c r="B7" s="85">
        <v>95.8</v>
      </c>
      <c r="C7" s="83"/>
      <c r="D7" s="81"/>
      <c r="E7" s="81"/>
      <c r="I7" s="23"/>
    </row>
    <row r="8" spans="1:9" x14ac:dyDescent="0.25">
      <c r="A8" s="22" t="s">
        <v>119</v>
      </c>
      <c r="B8" s="81">
        <v>42</v>
      </c>
      <c r="C8" s="83"/>
      <c r="D8" s="86"/>
      <c r="E8" s="25"/>
    </row>
    <row r="9" spans="1:9" x14ac:dyDescent="0.25">
      <c r="A9" s="22" t="s">
        <v>121</v>
      </c>
      <c r="B9" s="81">
        <v>125</v>
      </c>
      <c r="C9" s="83"/>
      <c r="D9" s="86"/>
      <c r="E9" s="25"/>
    </row>
    <row r="10" spans="1:9" x14ac:dyDescent="0.25">
      <c r="A10" s="22" t="s">
        <v>122</v>
      </c>
      <c r="B10" s="81">
        <v>22.55</v>
      </c>
      <c r="C10" s="83"/>
      <c r="D10" s="86"/>
      <c r="E10" s="26"/>
    </row>
    <row r="11" spans="1:9" x14ac:dyDescent="0.25">
      <c r="A11" s="22" t="s">
        <v>68</v>
      </c>
      <c r="B11" s="81">
        <v>71.05</v>
      </c>
      <c r="C11" s="83"/>
      <c r="D11" s="81"/>
      <c r="E11" s="81"/>
    </row>
    <row r="12" spans="1:9" x14ac:dyDescent="0.25">
      <c r="A12" s="22" t="s">
        <v>123</v>
      </c>
      <c r="B12" s="81">
        <v>18.309999999999999</v>
      </c>
      <c r="C12" s="83"/>
      <c r="D12" s="86"/>
      <c r="E12" s="26"/>
    </row>
    <row r="13" spans="1:9" x14ac:dyDescent="0.25">
      <c r="A13" s="22" t="s">
        <v>70</v>
      </c>
      <c r="B13" s="81">
        <v>47.3</v>
      </c>
      <c r="C13" s="83"/>
      <c r="D13" s="86"/>
      <c r="E13" s="26"/>
      <c r="G13"/>
    </row>
    <row r="14" spans="1:9" x14ac:dyDescent="0.25">
      <c r="A14" s="22" t="s">
        <v>124</v>
      </c>
      <c r="B14" s="81">
        <v>113.48</v>
      </c>
      <c r="C14" s="83"/>
      <c r="D14" s="87" t="s">
        <v>69</v>
      </c>
      <c r="E14" s="83">
        <f>SUM(E2:E13)</f>
        <v>688.75</v>
      </c>
    </row>
    <row r="15" spans="1:9" x14ac:dyDescent="0.25">
      <c r="A15" s="22"/>
      <c r="B15" s="81"/>
      <c r="C15" s="83"/>
      <c r="D15" s="80"/>
      <c r="E15" s="80"/>
    </row>
    <row r="16" spans="1:9" ht="15.75" x14ac:dyDescent="0.25">
      <c r="A16" s="22"/>
      <c r="B16" s="81"/>
      <c r="C16" s="83"/>
      <c r="D16" s="78" t="s">
        <v>56</v>
      </c>
      <c r="E16" s="88"/>
    </row>
    <row r="17" spans="1:9" x14ac:dyDescent="0.25">
      <c r="A17" s="22"/>
      <c r="B17" s="81"/>
      <c r="C17" s="83"/>
      <c r="D17" s="26" t="s">
        <v>115</v>
      </c>
      <c r="E17" s="89">
        <v>22.5</v>
      </c>
    </row>
    <row r="18" spans="1:9" x14ac:dyDescent="0.25">
      <c r="A18" s="22"/>
      <c r="B18" s="81"/>
      <c r="C18" s="83"/>
      <c r="D18" s="90" t="s">
        <v>116</v>
      </c>
      <c r="E18" s="25">
        <v>85.67</v>
      </c>
    </row>
    <row r="19" spans="1:9" x14ac:dyDescent="0.25">
      <c r="A19" s="22"/>
      <c r="B19" s="81"/>
      <c r="C19" s="83"/>
      <c r="D19" s="90" t="s">
        <v>117</v>
      </c>
      <c r="E19" s="25">
        <v>44</v>
      </c>
      <c r="H19" s="19"/>
    </row>
    <row r="20" spans="1:9" x14ac:dyDescent="0.25">
      <c r="A20" s="22"/>
      <c r="B20" s="81"/>
      <c r="C20" s="83"/>
      <c r="D20" s="86" t="s">
        <v>118</v>
      </c>
      <c r="E20" s="25">
        <v>63.11</v>
      </c>
      <c r="H20" s="19"/>
    </row>
    <row r="21" spans="1:9" x14ac:dyDescent="0.25">
      <c r="A21" s="27" t="s">
        <v>69</v>
      </c>
      <c r="B21" s="83">
        <f>SUM(B3:B20)</f>
        <v>727.63999999999987</v>
      </c>
      <c r="C21" s="83"/>
      <c r="D21" s="90" t="s">
        <v>130</v>
      </c>
      <c r="E21" s="25">
        <v>137.5</v>
      </c>
      <c r="H21" s="19"/>
    </row>
    <row r="22" spans="1:9" x14ac:dyDescent="0.25">
      <c r="B22" s="80"/>
      <c r="C22" s="83"/>
      <c r="D22" s="86"/>
      <c r="E22" s="25"/>
      <c r="I22" s="23"/>
    </row>
    <row r="23" spans="1:9" x14ac:dyDescent="0.25">
      <c r="A23" s="15" t="s">
        <v>26</v>
      </c>
      <c r="B23" s="83"/>
      <c r="C23" s="83"/>
      <c r="D23" s="87" t="s">
        <v>69</v>
      </c>
      <c r="E23" s="21">
        <f>SUM(E17:E22)</f>
        <v>352.78000000000003</v>
      </c>
      <c r="I23" s="23"/>
    </row>
    <row r="24" spans="1:9" x14ac:dyDescent="0.25">
      <c r="A24" s="22" t="s">
        <v>128</v>
      </c>
      <c r="B24" s="81">
        <v>1290</v>
      </c>
      <c r="C24" s="83"/>
      <c r="D24" s="80"/>
      <c r="E24" s="80"/>
      <c r="I24" s="23"/>
    </row>
    <row r="25" spans="1:9" ht="15.75" x14ac:dyDescent="0.25">
      <c r="A25" s="22" t="s">
        <v>129</v>
      </c>
      <c r="B25" s="81">
        <v>75</v>
      </c>
      <c r="C25" s="83"/>
      <c r="D25" s="91" t="s">
        <v>77</v>
      </c>
      <c r="E25" s="80"/>
      <c r="I25" s="23"/>
    </row>
    <row r="26" spans="1:9" x14ac:dyDescent="0.25">
      <c r="A26" s="22" t="s">
        <v>131</v>
      </c>
      <c r="B26" s="81">
        <v>487.5</v>
      </c>
      <c r="C26" s="83"/>
      <c r="D26" s="81"/>
      <c r="E26" s="32"/>
      <c r="I26" s="23"/>
    </row>
    <row r="27" spans="1:9" x14ac:dyDescent="0.25">
      <c r="A27" s="22"/>
      <c r="B27" s="81"/>
      <c r="C27" s="83"/>
      <c r="D27" s="81"/>
      <c r="E27" s="32"/>
    </row>
    <row r="28" spans="1:9" x14ac:dyDescent="0.25">
      <c r="A28" s="22"/>
      <c r="B28" s="81"/>
      <c r="C28" s="83"/>
      <c r="D28" s="81"/>
      <c r="E28" s="32"/>
    </row>
    <row r="29" spans="1:9" x14ac:dyDescent="0.25">
      <c r="A29" s="22"/>
      <c r="B29" s="81"/>
      <c r="C29" s="83"/>
      <c r="D29" s="87" t="s">
        <v>69</v>
      </c>
      <c r="E29" s="34">
        <f>SUM(E26:E28)</f>
        <v>0</v>
      </c>
    </row>
    <row r="30" spans="1:9" x14ac:dyDescent="0.25">
      <c r="A30" s="22"/>
      <c r="B30" s="81"/>
      <c r="C30" s="83"/>
      <c r="D30" s="80"/>
      <c r="E30" s="80"/>
    </row>
    <row r="31" spans="1:9" x14ac:dyDescent="0.25">
      <c r="A31" s="27" t="s">
        <v>69</v>
      </c>
      <c r="B31" s="83">
        <f>SUM(B24:B30)</f>
        <v>1852.5</v>
      </c>
      <c r="C31" s="83"/>
      <c r="D31" s="83" t="s">
        <v>69</v>
      </c>
      <c r="E31" s="83">
        <f>E14+E29+E23+B21+B31</f>
        <v>3621.67</v>
      </c>
    </row>
    <row r="32" spans="1:9" x14ac:dyDescent="0.25">
      <c r="B32" s="80"/>
      <c r="C32" s="83"/>
      <c r="D32" s="83" t="s">
        <v>80</v>
      </c>
      <c r="E32" s="83">
        <f>'Cremer''s Meadow'!H34</f>
        <v>773.26</v>
      </c>
    </row>
    <row r="33" spans="1:12" ht="15.75" thickBot="1" x14ac:dyDescent="0.3">
      <c r="B33" s="80"/>
      <c r="C33" s="83"/>
      <c r="D33" s="92" t="s">
        <v>81</v>
      </c>
      <c r="E33" s="93">
        <f>SUM(E31:E32)</f>
        <v>4394.93</v>
      </c>
    </row>
    <row r="34" spans="1:12" ht="15.75" thickTop="1" x14ac:dyDescent="0.25">
      <c r="B34" s="80"/>
      <c r="C34" s="80"/>
      <c r="D34" s="83" t="s">
        <v>82</v>
      </c>
      <c r="E34" s="83">
        <v>14880</v>
      </c>
      <c r="H34" s="19"/>
    </row>
    <row r="35" spans="1:12" x14ac:dyDescent="0.25">
      <c r="D35" t="s">
        <v>83</v>
      </c>
      <c r="E35" s="74">
        <f>E33/E34</f>
        <v>0.2953581989247312</v>
      </c>
      <c r="H35" s="19"/>
    </row>
    <row r="36" spans="1:12" ht="15.75" x14ac:dyDescent="0.25">
      <c r="A36" s="17" t="s">
        <v>71</v>
      </c>
      <c r="B36" s="15"/>
      <c r="C36" s="28"/>
      <c r="G36"/>
    </row>
    <row r="37" spans="1:12" ht="15.75" x14ac:dyDescent="0.25">
      <c r="A37" t="s">
        <v>14</v>
      </c>
      <c r="C37" s="28"/>
      <c r="D37" s="17" t="s">
        <v>34</v>
      </c>
      <c r="E37" s="21"/>
    </row>
    <row r="38" spans="1:12" x14ac:dyDescent="0.25">
      <c r="A38" s="22" t="s">
        <v>67</v>
      </c>
      <c r="B38" s="20">
        <f>Allotments!C4</f>
        <v>393.75</v>
      </c>
      <c r="D38" s="22" t="s">
        <v>72</v>
      </c>
      <c r="E38" s="25">
        <f>Cemetery!C5</f>
        <v>51.02</v>
      </c>
    </row>
    <row r="39" spans="1:12" x14ac:dyDescent="0.25">
      <c r="A39" s="22" t="s">
        <v>72</v>
      </c>
      <c r="B39" s="20">
        <f>Allotments!C5</f>
        <v>619.85</v>
      </c>
      <c r="D39" s="22" t="s">
        <v>73</v>
      </c>
      <c r="E39" s="25">
        <f>Cemetery!C6</f>
        <v>0</v>
      </c>
    </row>
    <row r="40" spans="1:12" x14ac:dyDescent="0.25">
      <c r="A40" s="22" t="s">
        <v>73</v>
      </c>
      <c r="B40" s="20">
        <f>Allotments!C6</f>
        <v>0</v>
      </c>
      <c r="D40" s="22" t="s">
        <v>74</v>
      </c>
      <c r="E40" s="25">
        <f>Cemetery!C7</f>
        <v>0</v>
      </c>
    </row>
    <row r="41" spans="1:12" x14ac:dyDescent="0.25">
      <c r="A41" s="22" t="s">
        <v>74</v>
      </c>
      <c r="B41" s="20">
        <f>Allotments!C7</f>
        <v>0</v>
      </c>
      <c r="D41" s="22" t="s">
        <v>75</v>
      </c>
      <c r="E41" s="25">
        <f>Cemetery!C8</f>
        <v>137.5</v>
      </c>
      <c r="G41" s="19"/>
    </row>
    <row r="42" spans="1:12" x14ac:dyDescent="0.25">
      <c r="A42" s="22" t="s">
        <v>75</v>
      </c>
      <c r="B42" s="20">
        <f>Allotments!C8</f>
        <v>0</v>
      </c>
      <c r="D42" s="31" t="s">
        <v>69</v>
      </c>
      <c r="E42" s="73">
        <f>SUM(E38:E41)</f>
        <v>188.52</v>
      </c>
      <c r="G42" s="19"/>
      <c r="L42" s="28"/>
    </row>
    <row r="43" spans="1:12" x14ac:dyDescent="0.25">
      <c r="A43" s="22" t="s">
        <v>76</v>
      </c>
      <c r="B43" s="20">
        <f>Allotments!C9</f>
        <v>0</v>
      </c>
      <c r="D43" s="72"/>
      <c r="E43" s="73"/>
      <c r="G43" s="19"/>
    </row>
    <row r="44" spans="1:12" x14ac:dyDescent="0.25">
      <c r="A44" s="31" t="s">
        <v>69</v>
      </c>
      <c r="B44" s="19">
        <f>SUM(B38:B43)</f>
        <v>1013.6</v>
      </c>
      <c r="D44" s="35" t="s">
        <v>35</v>
      </c>
      <c r="E44" s="34">
        <f>-Cemetery!C12</f>
        <v>-7568</v>
      </c>
      <c r="G44" s="19"/>
    </row>
    <row r="45" spans="1:12" x14ac:dyDescent="0.25">
      <c r="A45" t="s">
        <v>78</v>
      </c>
      <c r="C45" s="28"/>
      <c r="E45" s="21"/>
      <c r="G45" s="19"/>
    </row>
    <row r="46" spans="1:12" x14ac:dyDescent="0.25">
      <c r="A46" s="22" t="s">
        <v>67</v>
      </c>
      <c r="B46" s="20">
        <f>-Allotments!C22</f>
        <v>-65.31</v>
      </c>
      <c r="D46" s="33" t="s">
        <v>79</v>
      </c>
      <c r="E46" s="27">
        <f>E42+E44</f>
        <v>-7379.48</v>
      </c>
      <c r="G46" s="19"/>
    </row>
    <row r="47" spans="1:12" x14ac:dyDescent="0.25">
      <c r="C47" s="19"/>
      <c r="G47" s="19"/>
    </row>
    <row r="48" spans="1:12" x14ac:dyDescent="0.25">
      <c r="A48" s="33" t="s">
        <v>79</v>
      </c>
      <c r="B48" s="27">
        <f>B44+B46</f>
        <v>948.29</v>
      </c>
      <c r="G48" s="19"/>
    </row>
    <row r="49" spans="1:12" ht="14.45" customHeight="1" x14ac:dyDescent="0.25">
      <c r="G49" s="19"/>
    </row>
    <row r="50" spans="1:12" x14ac:dyDescent="0.25">
      <c r="G50" s="19"/>
    </row>
    <row r="51" spans="1:12" x14ac:dyDescent="0.25">
      <c r="B51" s="36"/>
      <c r="G51" s="19"/>
    </row>
    <row r="52" spans="1:12" ht="15" customHeight="1" x14ac:dyDescent="0.25">
      <c r="A52" s="71" t="s">
        <v>84</v>
      </c>
      <c r="B52" s="71"/>
      <c r="C52" s="71"/>
      <c r="D52" s="71"/>
      <c r="E52" s="71"/>
      <c r="F52" s="36"/>
      <c r="G52" s="36"/>
    </row>
    <row r="53" spans="1:12" x14ac:dyDescent="0.25">
      <c r="A53" s="71"/>
      <c r="B53" s="71"/>
      <c r="C53" s="71"/>
      <c r="D53" s="71"/>
      <c r="E53" s="71"/>
      <c r="F53" s="36"/>
      <c r="G53" s="19"/>
    </row>
    <row r="54" spans="1:12" x14ac:dyDescent="0.25">
      <c r="A54" s="36"/>
      <c r="B54" s="36"/>
      <c r="C54" s="36"/>
      <c r="D54" s="36"/>
      <c r="E54" s="36"/>
      <c r="F54" s="36"/>
      <c r="G54" s="19"/>
    </row>
    <row r="55" spans="1:12" x14ac:dyDescent="0.25">
      <c r="A55" s="31" t="s">
        <v>85</v>
      </c>
      <c r="D55" s="36"/>
    </row>
    <row r="56" spans="1:12" x14ac:dyDescent="0.25">
      <c r="A56" t="s">
        <v>133</v>
      </c>
      <c r="B56" t="s">
        <v>134</v>
      </c>
      <c r="D56" s="37">
        <v>1050</v>
      </c>
    </row>
    <row r="57" spans="1:12" x14ac:dyDescent="0.25">
      <c r="A57" t="s">
        <v>136</v>
      </c>
      <c r="B57" t="s">
        <v>86</v>
      </c>
      <c r="D57" s="37">
        <v>6688</v>
      </c>
    </row>
    <row r="58" spans="1:12" x14ac:dyDescent="0.25">
      <c r="A58" t="s">
        <v>87</v>
      </c>
      <c r="B58" t="s">
        <v>86</v>
      </c>
      <c r="D58" s="37">
        <v>1890.6</v>
      </c>
    </row>
    <row r="59" spans="1:12" x14ac:dyDescent="0.25">
      <c r="A59" t="s">
        <v>137</v>
      </c>
      <c r="B59" t="s">
        <v>86</v>
      </c>
      <c r="D59" s="21">
        <v>1250</v>
      </c>
    </row>
    <row r="60" spans="1:12" x14ac:dyDescent="0.25">
      <c r="B60" t="s">
        <v>86</v>
      </c>
      <c r="D60" s="21"/>
    </row>
    <row r="61" spans="1:12" x14ac:dyDescent="0.25">
      <c r="B61" t="s">
        <v>86</v>
      </c>
      <c r="D61" s="21"/>
    </row>
    <row r="62" spans="1:12" x14ac:dyDescent="0.25">
      <c r="B62" t="s">
        <v>86</v>
      </c>
      <c r="D62" s="21"/>
    </row>
    <row r="63" spans="1:12" x14ac:dyDescent="0.25">
      <c r="D63" s="21"/>
    </row>
    <row r="64" spans="1:12" s="21" customFormat="1" x14ac:dyDescent="0.25">
      <c r="A64"/>
      <c r="B64"/>
      <c r="C64"/>
      <c r="D64" s="30">
        <f>SUM(D56:D63)</f>
        <v>10878.6</v>
      </c>
      <c r="E64"/>
      <c r="F64" s="28"/>
      <c r="H64"/>
      <c r="I64"/>
      <c r="J64"/>
      <c r="K64"/>
      <c r="L64"/>
    </row>
    <row r="65" spans="1:12" s="21" customFormat="1" x14ac:dyDescent="0.25">
      <c r="A65"/>
      <c r="B65"/>
      <c r="C65"/>
      <c r="D65" s="38">
        <f>SUM(D68:D70)-D64</f>
        <v>0</v>
      </c>
      <c r="E65"/>
      <c r="F65" s="28"/>
      <c r="H65"/>
      <c r="I65"/>
      <c r="J65"/>
      <c r="K65"/>
      <c r="L65"/>
    </row>
    <row r="68" spans="1:12" x14ac:dyDescent="0.25">
      <c r="C68" s="35" t="s">
        <v>135</v>
      </c>
      <c r="D68" s="38">
        <f>D56</f>
        <v>1050</v>
      </c>
    </row>
    <row r="69" spans="1:12" x14ac:dyDescent="0.25">
      <c r="C69" s="35" t="s">
        <v>88</v>
      </c>
      <c r="D69" s="38">
        <f>D55+D58+D59+D57+D61+D60+D62</f>
        <v>9828.6</v>
      </c>
    </row>
    <row r="70" spans="1:12" x14ac:dyDescent="0.25">
      <c r="C70" s="35" t="s">
        <v>89</v>
      </c>
      <c r="D70" s="38">
        <f>D63</f>
        <v>0</v>
      </c>
    </row>
    <row r="71" spans="1:12" x14ac:dyDescent="0.25">
      <c r="D71" s="28"/>
    </row>
    <row r="72" spans="1:12" x14ac:dyDescent="0.25">
      <c r="D72" s="21">
        <f>D64-D69-D70-D68</f>
        <v>0</v>
      </c>
    </row>
    <row r="73" spans="1:12" x14ac:dyDescent="0.25">
      <c r="D73" s="28"/>
    </row>
  </sheetData>
  <mergeCells count="1">
    <mergeCell ref="A52:E5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174B-30C9-46B5-A8AB-A6F7B7996BC0}">
  <dimension ref="B1:R38"/>
  <sheetViews>
    <sheetView workbookViewId="0">
      <selection activeCell="B16" sqref="B16"/>
    </sheetView>
  </sheetViews>
  <sheetFormatPr defaultColWidth="9.140625" defaultRowHeight="15.75" x14ac:dyDescent="0.25"/>
  <cols>
    <col min="1" max="1" width="3.85546875" style="43" customWidth="1"/>
    <col min="2" max="2" width="34.140625" style="43" customWidth="1"/>
    <col min="3" max="3" width="10.42578125" style="40" bestFit="1" customWidth="1"/>
    <col min="4" max="4" width="4.5703125" style="41" customWidth="1"/>
    <col min="5" max="5" width="9.28515625" style="41" customWidth="1"/>
    <col min="6" max="6" width="13.5703125" style="41" customWidth="1"/>
    <col min="7" max="7" width="13.5703125" style="40" customWidth="1"/>
    <col min="8" max="8" width="13.5703125" style="41" customWidth="1"/>
    <col min="9" max="9" width="3.5703125" style="43" customWidth="1"/>
    <col min="10" max="16" width="9.140625" style="43"/>
    <col min="17" max="17" width="27.28515625" style="43" bestFit="1" customWidth="1"/>
    <col min="18" max="18" width="30.85546875" style="43" bestFit="1" customWidth="1"/>
    <col min="19" max="16384" width="9.140625" style="43"/>
  </cols>
  <sheetData>
    <row r="1" spans="2:18" ht="18.75" x14ac:dyDescent="0.25">
      <c r="B1" s="39" t="s">
        <v>90</v>
      </c>
      <c r="G1" s="42">
        <f>'Land Management'!B1</f>
        <v>46265</v>
      </c>
    </row>
    <row r="2" spans="2:18" ht="18.75" x14ac:dyDescent="0.25">
      <c r="B2" s="39"/>
    </row>
    <row r="3" spans="2:18" s="50" customFormat="1" ht="31.5" x14ac:dyDescent="0.25">
      <c r="B3" s="44"/>
      <c r="C3" s="45" t="s">
        <v>69</v>
      </c>
      <c r="D3" s="46"/>
      <c r="E3" s="47" t="s">
        <v>91</v>
      </c>
      <c r="F3" s="47" t="s">
        <v>92</v>
      </c>
      <c r="G3" s="48" t="s">
        <v>93</v>
      </c>
      <c r="H3" s="49" t="s">
        <v>94</v>
      </c>
    </row>
    <row r="4" spans="2:18" x14ac:dyDescent="0.25">
      <c r="B4" s="51" t="s">
        <v>95</v>
      </c>
      <c r="E4" s="52">
        <v>74.739999999999995</v>
      </c>
      <c r="F4" s="52">
        <v>123.09</v>
      </c>
      <c r="G4" s="53">
        <v>434.55</v>
      </c>
    </row>
    <row r="6" spans="2:18" hidden="1" x14ac:dyDescent="0.25">
      <c r="B6" s="43" t="s">
        <v>96</v>
      </c>
      <c r="G6" s="54"/>
    </row>
    <row r="7" spans="2:18" hidden="1" x14ac:dyDescent="0.25"/>
    <row r="8" spans="2:18" x14ac:dyDescent="0.25">
      <c r="B8" s="55" t="s">
        <v>109</v>
      </c>
      <c r="C8" s="40">
        <v>24.97</v>
      </c>
      <c r="E8" s="56"/>
      <c r="F8" s="56"/>
      <c r="G8" s="57"/>
      <c r="H8" s="56">
        <f>C8</f>
        <v>24.97</v>
      </c>
      <c r="P8" s="58"/>
      <c r="Q8" s="55"/>
      <c r="R8" s="55"/>
    </row>
    <row r="9" spans="2:18" x14ac:dyDescent="0.25">
      <c r="B9" s="43" t="s">
        <v>110</v>
      </c>
      <c r="C9" s="40">
        <v>135.63999999999999</v>
      </c>
      <c r="E9" s="56"/>
      <c r="F9" s="56"/>
      <c r="G9" s="57"/>
      <c r="H9" s="56">
        <f t="shared" ref="H9:H17" si="0">C9</f>
        <v>135.63999999999999</v>
      </c>
      <c r="L9" s="58"/>
      <c r="M9" s="58"/>
    </row>
    <row r="10" spans="2:18" x14ac:dyDescent="0.25">
      <c r="B10" s="55" t="s">
        <v>111</v>
      </c>
      <c r="C10" s="40">
        <v>9.56</v>
      </c>
      <c r="E10" s="56"/>
      <c r="F10" s="56"/>
      <c r="G10" s="57"/>
      <c r="H10" s="56">
        <f t="shared" si="0"/>
        <v>9.56</v>
      </c>
      <c r="P10" s="58"/>
      <c r="Q10" s="55"/>
      <c r="R10" s="55"/>
    </row>
    <row r="11" spans="2:18" x14ac:dyDescent="0.25">
      <c r="B11" s="55" t="s">
        <v>112</v>
      </c>
      <c r="C11" s="40">
        <v>80.599999999999994</v>
      </c>
      <c r="D11" s="40"/>
      <c r="E11" s="57"/>
      <c r="F11" s="57"/>
      <c r="G11" s="57"/>
      <c r="H11" s="56">
        <f t="shared" si="0"/>
        <v>80.599999999999994</v>
      </c>
      <c r="P11" s="58"/>
      <c r="Q11" s="55"/>
      <c r="R11" s="55"/>
    </row>
    <row r="12" spans="2:18" x14ac:dyDescent="0.25">
      <c r="B12" s="59" t="s">
        <v>113</v>
      </c>
      <c r="C12" s="40">
        <v>61.2</v>
      </c>
      <c r="E12" s="56"/>
      <c r="F12" s="56"/>
      <c r="G12" s="57"/>
      <c r="H12" s="56">
        <f t="shared" si="0"/>
        <v>61.2</v>
      </c>
      <c r="P12" s="58"/>
      <c r="Q12" s="55"/>
      <c r="R12" s="55"/>
    </row>
    <row r="13" spans="2:18" x14ac:dyDescent="0.25">
      <c r="B13" s="59" t="s">
        <v>114</v>
      </c>
      <c r="C13" s="40">
        <v>100</v>
      </c>
      <c r="E13" s="56"/>
      <c r="F13" s="56"/>
      <c r="G13" s="57"/>
      <c r="H13" s="56">
        <f t="shared" si="0"/>
        <v>100</v>
      </c>
      <c r="L13" s="58"/>
      <c r="M13" s="58"/>
      <c r="P13" s="58"/>
      <c r="Q13" s="55"/>
      <c r="R13" s="55"/>
    </row>
    <row r="14" spans="2:18" x14ac:dyDescent="0.25">
      <c r="B14" s="60" t="s">
        <v>125</v>
      </c>
      <c r="C14" s="40">
        <v>26.29</v>
      </c>
      <c r="E14" s="56"/>
      <c r="F14" s="56"/>
      <c r="G14" s="57"/>
      <c r="H14" s="56">
        <f t="shared" si="0"/>
        <v>26.29</v>
      </c>
      <c r="L14" s="58"/>
      <c r="M14" s="58"/>
      <c r="P14" s="58"/>
      <c r="Q14" s="55"/>
      <c r="R14" s="55"/>
    </row>
    <row r="15" spans="2:18" x14ac:dyDescent="0.25">
      <c r="B15" s="60" t="s">
        <v>132</v>
      </c>
      <c r="C15" s="40">
        <v>335</v>
      </c>
      <c r="E15" s="56"/>
      <c r="F15" s="56"/>
      <c r="G15" s="57"/>
      <c r="H15" s="56">
        <f t="shared" si="0"/>
        <v>335</v>
      </c>
      <c r="L15" s="58"/>
      <c r="M15" s="58"/>
      <c r="P15" s="58"/>
      <c r="Q15" s="55"/>
      <c r="R15" s="55"/>
    </row>
    <row r="16" spans="2:18" x14ac:dyDescent="0.25">
      <c r="B16" s="60"/>
      <c r="E16" s="56"/>
      <c r="F16" s="56"/>
      <c r="G16" s="57"/>
      <c r="H16" s="56">
        <f t="shared" si="0"/>
        <v>0</v>
      </c>
      <c r="L16" s="58"/>
      <c r="M16" s="58"/>
    </row>
    <row r="17" spans="2:18" x14ac:dyDescent="0.25">
      <c r="B17" s="60"/>
      <c r="E17" s="56"/>
      <c r="F17" s="56"/>
      <c r="G17" s="57"/>
      <c r="H17" s="56">
        <f t="shared" si="0"/>
        <v>0</v>
      </c>
      <c r="L17" s="58"/>
      <c r="M17" s="58"/>
      <c r="P17" s="58"/>
      <c r="Q17" s="55"/>
      <c r="R17" s="55"/>
    </row>
    <row r="18" spans="2:18" x14ac:dyDescent="0.25">
      <c r="B18" s="60"/>
      <c r="E18" s="56"/>
      <c r="F18" s="56"/>
      <c r="G18" s="57"/>
      <c r="H18" s="56"/>
      <c r="L18" s="58"/>
      <c r="M18" s="58"/>
    </row>
    <row r="19" spans="2:18" x14ac:dyDescent="0.25">
      <c r="E19" s="56"/>
      <c r="F19" s="56"/>
      <c r="G19" s="57"/>
      <c r="H19" s="56"/>
      <c r="L19" s="58"/>
      <c r="M19" s="58"/>
    </row>
    <row r="20" spans="2:18" x14ac:dyDescent="0.25">
      <c r="E20" s="56"/>
      <c r="F20" s="56"/>
      <c r="G20" s="57"/>
      <c r="H20" s="56"/>
      <c r="L20" s="58"/>
      <c r="M20" s="58"/>
    </row>
    <row r="21" spans="2:18" x14ac:dyDescent="0.25">
      <c r="E21" s="56"/>
      <c r="F21" s="56"/>
      <c r="G21" s="57"/>
      <c r="H21" s="56"/>
      <c r="L21" s="58"/>
      <c r="M21" s="58"/>
    </row>
    <row r="22" spans="2:18" hidden="1" x14ac:dyDescent="0.25">
      <c r="E22" s="56"/>
      <c r="F22" s="56"/>
      <c r="G22" s="57"/>
      <c r="H22" s="56"/>
      <c r="L22" s="58"/>
      <c r="M22" s="58"/>
      <c r="P22" s="58"/>
      <c r="Q22" s="60"/>
      <c r="R22" s="60"/>
    </row>
    <row r="23" spans="2:18" hidden="1" x14ac:dyDescent="0.25">
      <c r="E23" s="56"/>
      <c r="F23" s="56"/>
      <c r="G23" s="57"/>
      <c r="H23" s="56"/>
      <c r="P23" s="58"/>
      <c r="Q23" s="55"/>
      <c r="R23" s="55"/>
    </row>
    <row r="24" spans="2:18" hidden="1" x14ac:dyDescent="0.25">
      <c r="E24" s="57"/>
      <c r="F24" s="56"/>
      <c r="G24" s="57"/>
      <c r="H24" s="56"/>
      <c r="P24" s="58"/>
      <c r="Q24" s="60"/>
      <c r="R24" s="60"/>
    </row>
    <row r="25" spans="2:18" hidden="1" x14ac:dyDescent="0.25">
      <c r="E25" s="56"/>
      <c r="F25" s="56"/>
      <c r="G25" s="57"/>
      <c r="H25" s="56"/>
      <c r="L25" s="61"/>
      <c r="M25" s="61"/>
      <c r="P25" s="58"/>
      <c r="Q25" s="55"/>
      <c r="R25" s="55"/>
    </row>
    <row r="26" spans="2:18" hidden="1" x14ac:dyDescent="0.25">
      <c r="E26" s="56"/>
      <c r="F26" s="56"/>
      <c r="G26" s="57"/>
      <c r="H26" s="56"/>
      <c r="P26" s="58"/>
      <c r="Q26" s="60"/>
      <c r="R26" s="60"/>
    </row>
    <row r="27" spans="2:18" hidden="1" x14ac:dyDescent="0.25">
      <c r="E27" s="56"/>
      <c r="F27" s="56"/>
      <c r="G27" s="57"/>
      <c r="H27" s="56"/>
      <c r="P27" s="58"/>
      <c r="Q27" s="55"/>
      <c r="R27" s="55"/>
    </row>
    <row r="28" spans="2:18" hidden="1" x14ac:dyDescent="0.25">
      <c r="E28" s="56"/>
      <c r="F28" s="56"/>
      <c r="G28" s="57"/>
      <c r="H28" s="56"/>
      <c r="P28" s="58"/>
      <c r="Q28" s="55"/>
      <c r="R28" s="55"/>
    </row>
    <row r="29" spans="2:18" hidden="1" x14ac:dyDescent="0.25">
      <c r="B29" s="55"/>
      <c r="E29" s="56"/>
      <c r="F29" s="56"/>
      <c r="G29" s="57"/>
      <c r="H29" s="56"/>
      <c r="P29" s="58"/>
      <c r="Q29" s="55"/>
      <c r="R29" s="55"/>
    </row>
    <row r="30" spans="2:18" hidden="1" x14ac:dyDescent="0.25">
      <c r="B30" s="55"/>
      <c r="E30" s="56"/>
      <c r="F30" s="56"/>
      <c r="G30" s="57"/>
      <c r="H30" s="56"/>
      <c r="P30" s="58"/>
      <c r="Q30" s="55"/>
      <c r="R30" s="55"/>
    </row>
    <row r="31" spans="2:18" x14ac:dyDescent="0.25">
      <c r="B31" s="55"/>
      <c r="E31" s="56"/>
      <c r="F31" s="56"/>
      <c r="G31" s="57"/>
      <c r="H31" s="56"/>
      <c r="P31" s="58"/>
      <c r="Q31" s="55"/>
      <c r="R31" s="55"/>
    </row>
    <row r="32" spans="2:18" x14ac:dyDescent="0.25">
      <c r="B32" s="55"/>
      <c r="E32" s="56"/>
      <c r="F32" s="56"/>
      <c r="G32" s="57"/>
      <c r="H32" s="56"/>
    </row>
    <row r="33" spans="2:10" x14ac:dyDescent="0.25">
      <c r="B33" s="62"/>
      <c r="C33" s="63"/>
      <c r="D33" s="64"/>
      <c r="E33" s="64"/>
      <c r="F33" s="64"/>
      <c r="G33" s="63"/>
      <c r="H33" s="64"/>
    </row>
    <row r="34" spans="2:10" x14ac:dyDescent="0.25">
      <c r="B34" s="43" t="s">
        <v>69</v>
      </c>
      <c r="C34" s="40">
        <f>SUM(C5:C33)</f>
        <v>773.26</v>
      </c>
      <c r="E34" s="40">
        <f>SUM(E5:E33)</f>
        <v>0</v>
      </c>
      <c r="F34" s="41">
        <f>SUM(F5:F33)</f>
        <v>0</v>
      </c>
      <c r="G34" s="40">
        <f>SUM(G5:G33)</f>
        <v>0</v>
      </c>
      <c r="H34" s="41">
        <f>SUM(H5:H33)</f>
        <v>773.26</v>
      </c>
      <c r="J34" s="61">
        <f>SUM(D34:H34)-C34</f>
        <v>0</v>
      </c>
    </row>
    <row r="36" spans="2:10" ht="16.5" thickBot="1" x14ac:dyDescent="0.3">
      <c r="B36" s="43" t="s">
        <v>97</v>
      </c>
      <c r="E36" s="65">
        <f>E4-SUM(E5:E33)</f>
        <v>74.739999999999995</v>
      </c>
      <c r="F36" s="65">
        <f>F4-SUM(F5:F33)</f>
        <v>123.09</v>
      </c>
      <c r="G36" s="66">
        <f>G4-SUM(G5:G33)</f>
        <v>434.55</v>
      </c>
    </row>
    <row r="37" spans="2:10" ht="16.5" thickTop="1" x14ac:dyDescent="0.25"/>
    <row r="38" spans="2:10" x14ac:dyDescent="0.25">
      <c r="B38" s="43" t="s">
        <v>96</v>
      </c>
      <c r="G38" s="40">
        <f>G6+SUM(G10:G12)+G15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01D8-9A95-4140-A62A-C04C66BD3898}">
  <dimension ref="A1:K31"/>
  <sheetViews>
    <sheetView workbookViewId="0">
      <selection activeCell="F22" sqref="F22:G23"/>
    </sheetView>
  </sheetViews>
  <sheetFormatPr defaultColWidth="9.140625" defaultRowHeight="15" x14ac:dyDescent="0.25"/>
  <cols>
    <col min="1" max="1" width="13.7109375" customWidth="1"/>
    <col min="2" max="2" width="10.28515625" customWidth="1"/>
    <col min="3" max="3" width="10.85546875" style="28" bestFit="1" customWidth="1"/>
    <col min="4" max="4" width="14" customWidth="1"/>
    <col min="5" max="5" width="5" customWidth="1"/>
    <col min="6" max="6" width="24.5703125" bestFit="1" customWidth="1"/>
    <col min="7" max="7" width="9.5703125" bestFit="1" customWidth="1"/>
    <col min="8" max="8" width="4.140625" customWidth="1"/>
  </cols>
  <sheetData>
    <row r="1" spans="1:11" s="15" customFormat="1" ht="15.75" x14ac:dyDescent="0.25">
      <c r="A1" s="17" t="s">
        <v>71</v>
      </c>
      <c r="C1" s="18"/>
      <c r="D1" s="16">
        <f>'Land Management'!B1</f>
        <v>46265</v>
      </c>
    </row>
    <row r="4" spans="1:11" x14ac:dyDescent="0.25">
      <c r="A4" t="s">
        <v>14</v>
      </c>
      <c r="B4" t="s">
        <v>67</v>
      </c>
      <c r="C4" s="19">
        <f>393.75</f>
        <v>393.75</v>
      </c>
      <c r="D4" s="19"/>
      <c r="E4" s="19"/>
      <c r="F4" s="67" t="s">
        <v>98</v>
      </c>
      <c r="G4" s="19"/>
    </row>
    <row r="5" spans="1:11" x14ac:dyDescent="0.25">
      <c r="B5" t="s">
        <v>72</v>
      </c>
      <c r="C5" s="19">
        <v>619.85</v>
      </c>
      <c r="D5" s="19"/>
      <c r="E5" s="19"/>
      <c r="F5" s="19"/>
      <c r="G5" s="19"/>
    </row>
    <row r="6" spans="1:11" x14ac:dyDescent="0.25">
      <c r="B6" t="s">
        <v>73</v>
      </c>
      <c r="C6" s="19">
        <f>G9</f>
        <v>0</v>
      </c>
      <c r="D6" s="19"/>
      <c r="E6" s="19"/>
      <c r="F6" s="19"/>
      <c r="G6" s="19"/>
    </row>
    <row r="7" spans="1:11" x14ac:dyDescent="0.25">
      <c r="B7" t="s">
        <v>74</v>
      </c>
      <c r="C7" s="19">
        <f>G20</f>
        <v>0</v>
      </c>
      <c r="D7" s="19"/>
      <c r="E7" s="19"/>
      <c r="F7" s="19"/>
      <c r="G7" s="19"/>
      <c r="K7" s="28"/>
    </row>
    <row r="8" spans="1:11" x14ac:dyDescent="0.25">
      <c r="B8" t="s">
        <v>75</v>
      </c>
      <c r="C8" s="19">
        <f>G25</f>
        <v>0</v>
      </c>
      <c r="D8" s="19"/>
      <c r="E8" s="19"/>
      <c r="F8" s="19"/>
      <c r="G8" s="19"/>
    </row>
    <row r="9" spans="1:11" x14ac:dyDescent="0.25">
      <c r="B9" t="s">
        <v>76</v>
      </c>
      <c r="C9" s="68"/>
      <c r="D9" s="19"/>
      <c r="E9" s="19"/>
      <c r="F9" s="19"/>
      <c r="G9" s="29">
        <f>SUM(G5:G8)</f>
        <v>0</v>
      </c>
    </row>
    <row r="10" spans="1:11" x14ac:dyDescent="0.25">
      <c r="B10" s="31" t="s">
        <v>69</v>
      </c>
      <c r="C10" s="19">
        <f>SUM(C4:C9)</f>
        <v>1013.6</v>
      </c>
      <c r="D10" s="19"/>
      <c r="E10" s="19"/>
      <c r="F10" s="19"/>
      <c r="G10" s="19"/>
    </row>
    <row r="11" spans="1:11" x14ac:dyDescent="0.25">
      <c r="C11" s="19"/>
      <c r="D11" s="19"/>
      <c r="E11" s="19"/>
      <c r="F11" s="67" t="s">
        <v>99</v>
      </c>
      <c r="G11" s="19"/>
    </row>
    <row r="12" spans="1:11" x14ac:dyDescent="0.25">
      <c r="A12" t="s">
        <v>78</v>
      </c>
      <c r="B12" t="s">
        <v>67</v>
      </c>
      <c r="C12" s="19">
        <v>65.31</v>
      </c>
      <c r="D12" s="19"/>
      <c r="E12" s="19"/>
      <c r="F12" s="19"/>
      <c r="G12" s="19"/>
    </row>
    <row r="13" spans="1:11" x14ac:dyDescent="0.25">
      <c r="B13" s="31"/>
      <c r="C13" s="19"/>
      <c r="D13" s="19"/>
      <c r="E13" s="19"/>
      <c r="F13" s="19"/>
      <c r="G13" s="19"/>
    </row>
    <row r="14" spans="1:11" x14ac:dyDescent="0.25">
      <c r="B14" s="33" t="s">
        <v>79</v>
      </c>
      <c r="C14" s="27">
        <f>C12-C10</f>
        <v>-948.29</v>
      </c>
      <c r="D14" s="19"/>
      <c r="E14" s="19"/>
      <c r="F14" s="19"/>
      <c r="G14" s="19"/>
    </row>
    <row r="15" spans="1:11" x14ac:dyDescent="0.25">
      <c r="B15" s="35"/>
      <c r="C15" s="19"/>
      <c r="D15" s="19"/>
      <c r="E15" s="19"/>
      <c r="F15" s="19"/>
      <c r="G15" s="19"/>
    </row>
    <row r="16" spans="1:11" x14ac:dyDescent="0.25">
      <c r="C16" s="19"/>
      <c r="D16" s="19"/>
      <c r="E16" s="19"/>
      <c r="F16" s="19"/>
      <c r="G16" s="19"/>
    </row>
    <row r="17" spans="1:7" x14ac:dyDescent="0.25">
      <c r="C17" s="19"/>
      <c r="D17" s="19"/>
      <c r="E17" s="19"/>
      <c r="F17" s="19"/>
      <c r="G17" s="19"/>
    </row>
    <row r="18" spans="1:7" x14ac:dyDescent="0.25">
      <c r="C18" s="19"/>
      <c r="D18" s="19"/>
      <c r="E18" s="19"/>
      <c r="F18" s="19"/>
      <c r="G18" s="19"/>
    </row>
    <row r="19" spans="1:7" x14ac:dyDescent="0.25">
      <c r="C19" s="19"/>
      <c r="D19" s="19"/>
      <c r="E19" s="19"/>
      <c r="F19" s="19"/>
      <c r="G19" s="19"/>
    </row>
    <row r="20" spans="1:7" x14ac:dyDescent="0.25">
      <c r="C20" s="19"/>
      <c r="D20" s="69"/>
      <c r="E20" s="19"/>
      <c r="F20" s="19"/>
      <c r="G20" s="29">
        <f>SUM(G12:G18)</f>
        <v>0</v>
      </c>
    </row>
    <row r="21" spans="1:7" x14ac:dyDescent="0.25">
      <c r="A21" t="s">
        <v>104</v>
      </c>
      <c r="C21" s="19"/>
      <c r="D21" s="19">
        <v>5274.39</v>
      </c>
      <c r="E21" s="19"/>
      <c r="F21" s="67" t="s">
        <v>100</v>
      </c>
      <c r="G21" s="19"/>
    </row>
    <row r="22" spans="1:7" x14ac:dyDescent="0.25">
      <c r="A22" t="s">
        <v>101</v>
      </c>
      <c r="C22" s="19">
        <f>C12</f>
        <v>65.31</v>
      </c>
      <c r="D22" s="19"/>
      <c r="E22" s="19"/>
      <c r="F22" s="19"/>
      <c r="G22" s="19"/>
    </row>
    <row r="23" spans="1:7" x14ac:dyDescent="0.25">
      <c r="A23" t="s">
        <v>102</v>
      </c>
      <c r="C23" s="19">
        <f>-C10</f>
        <v>-1013.6</v>
      </c>
      <c r="D23" s="19"/>
      <c r="E23" s="19"/>
      <c r="F23" s="19"/>
      <c r="G23" s="19"/>
    </row>
    <row r="24" spans="1:7" x14ac:dyDescent="0.25">
      <c r="C24" s="19"/>
      <c r="D24" s="19"/>
      <c r="E24" s="19"/>
      <c r="F24" s="19"/>
      <c r="G24" s="19"/>
    </row>
    <row r="25" spans="1:7" ht="15.75" thickBot="1" x14ac:dyDescent="0.3">
      <c r="A25" t="s">
        <v>103</v>
      </c>
      <c r="C25" s="19"/>
      <c r="D25" s="70">
        <f>D21+C22+C23</f>
        <v>4326.1000000000004</v>
      </c>
      <c r="E25" s="19"/>
      <c r="F25" s="19"/>
      <c r="G25" s="29">
        <f>SUM(G22:G24)</f>
        <v>0</v>
      </c>
    </row>
    <row r="26" spans="1:7" ht="15.75" thickTop="1" x14ac:dyDescent="0.25">
      <c r="E26" s="19"/>
      <c r="F26" s="19"/>
      <c r="G26" s="19"/>
    </row>
    <row r="29" spans="1:7" x14ac:dyDescent="0.25">
      <c r="D29" s="38"/>
    </row>
    <row r="30" spans="1:7" x14ac:dyDescent="0.25">
      <c r="D30" s="38"/>
    </row>
    <row r="31" spans="1:7" x14ac:dyDescent="0.25">
      <c r="D31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3C8B9-B5DE-4001-847B-4433F4073E2E}">
  <dimension ref="A1:K31"/>
  <sheetViews>
    <sheetView workbookViewId="0">
      <selection activeCell="F23" sqref="F23"/>
    </sheetView>
  </sheetViews>
  <sheetFormatPr defaultColWidth="9.140625" defaultRowHeight="15" x14ac:dyDescent="0.25"/>
  <cols>
    <col min="1" max="1" width="13.7109375" customWidth="1"/>
    <col min="2" max="2" width="10.28515625" customWidth="1"/>
    <col min="3" max="3" width="10.85546875" style="28" bestFit="1" customWidth="1"/>
    <col min="4" max="4" width="14" customWidth="1"/>
    <col min="5" max="5" width="5" customWidth="1"/>
    <col min="6" max="6" width="24.5703125" bestFit="1" customWidth="1"/>
    <col min="7" max="7" width="9.5703125" bestFit="1" customWidth="1"/>
    <col min="8" max="8" width="4.140625" customWidth="1"/>
  </cols>
  <sheetData>
    <row r="1" spans="1:11" s="15" customFormat="1" ht="15.75" x14ac:dyDescent="0.25">
      <c r="A1" s="17" t="s">
        <v>105</v>
      </c>
      <c r="C1" s="18"/>
      <c r="D1" s="16">
        <f>'Land Management'!B1</f>
        <v>46265</v>
      </c>
    </row>
    <row r="4" spans="1:11" x14ac:dyDescent="0.25">
      <c r="A4" t="s">
        <v>14</v>
      </c>
      <c r="C4" s="19"/>
      <c r="D4" s="19"/>
      <c r="E4" s="19"/>
      <c r="F4" s="67" t="s">
        <v>98</v>
      </c>
      <c r="G4" s="19"/>
    </row>
    <row r="5" spans="1:11" x14ac:dyDescent="0.25">
      <c r="B5" t="s">
        <v>72</v>
      </c>
      <c r="C5" s="19">
        <f>51.02</f>
        <v>51.02</v>
      </c>
      <c r="D5" s="19"/>
      <c r="E5" s="19"/>
      <c r="F5" s="19"/>
      <c r="G5" s="19"/>
    </row>
    <row r="6" spans="1:11" x14ac:dyDescent="0.25">
      <c r="B6" t="s">
        <v>73</v>
      </c>
      <c r="C6" s="19">
        <f>G9</f>
        <v>0</v>
      </c>
      <c r="D6" s="19"/>
      <c r="E6" s="19"/>
      <c r="F6" s="19"/>
      <c r="G6" s="19"/>
    </row>
    <row r="7" spans="1:11" x14ac:dyDescent="0.25">
      <c r="B7" t="s">
        <v>74</v>
      </c>
      <c r="C7" s="19">
        <f>G20</f>
        <v>0</v>
      </c>
      <c r="D7" s="19"/>
      <c r="E7" s="19"/>
      <c r="F7" s="19"/>
      <c r="G7" s="19"/>
      <c r="K7" s="28"/>
    </row>
    <row r="8" spans="1:11" x14ac:dyDescent="0.25">
      <c r="B8" t="s">
        <v>75</v>
      </c>
      <c r="C8" s="19">
        <f>G25</f>
        <v>137.5</v>
      </c>
      <c r="D8" s="19"/>
      <c r="E8" s="19"/>
      <c r="F8" s="19"/>
      <c r="G8" s="19"/>
    </row>
    <row r="9" spans="1:11" x14ac:dyDescent="0.25">
      <c r="C9" s="68"/>
      <c r="D9" s="19"/>
      <c r="E9" s="19"/>
      <c r="F9" s="19"/>
      <c r="G9" s="29">
        <f>SUM(G5:G8)</f>
        <v>0</v>
      </c>
    </row>
    <row r="10" spans="1:11" x14ac:dyDescent="0.25">
      <c r="B10" s="31" t="s">
        <v>69</v>
      </c>
      <c r="C10" s="19">
        <f>SUM(C4:C9)</f>
        <v>188.52</v>
      </c>
      <c r="D10" s="19"/>
      <c r="E10" s="19"/>
      <c r="F10" s="19"/>
      <c r="G10" s="19"/>
    </row>
    <row r="11" spans="1:11" x14ac:dyDescent="0.25">
      <c r="C11" s="19"/>
      <c r="D11" s="19"/>
      <c r="E11" s="19"/>
      <c r="F11" s="67" t="s">
        <v>99</v>
      </c>
      <c r="G11" s="19"/>
    </row>
    <row r="12" spans="1:11" x14ac:dyDescent="0.25">
      <c r="A12" t="s">
        <v>78</v>
      </c>
      <c r="C12" s="19">
        <v>7568</v>
      </c>
      <c r="D12" s="19"/>
      <c r="E12" s="19"/>
      <c r="F12" s="19"/>
      <c r="G12" s="19"/>
    </row>
    <row r="13" spans="1:11" x14ac:dyDescent="0.25">
      <c r="B13" s="31"/>
      <c r="C13" s="19"/>
      <c r="D13" s="19"/>
      <c r="E13" s="19"/>
      <c r="F13" s="19"/>
      <c r="G13" s="19"/>
    </row>
    <row r="14" spans="1:11" x14ac:dyDescent="0.25">
      <c r="B14" s="33" t="s">
        <v>79</v>
      </c>
      <c r="C14" s="27">
        <f>C12-C10</f>
        <v>7379.48</v>
      </c>
      <c r="D14" s="19"/>
      <c r="E14" s="19"/>
      <c r="F14" s="19"/>
      <c r="G14" s="19"/>
    </row>
    <row r="15" spans="1:11" x14ac:dyDescent="0.25">
      <c r="B15" s="35"/>
      <c r="C15" s="19"/>
      <c r="D15" s="19"/>
      <c r="E15" s="19"/>
      <c r="F15" s="19"/>
      <c r="G15" s="19"/>
    </row>
    <row r="16" spans="1:11" x14ac:dyDescent="0.25">
      <c r="C16" s="19"/>
      <c r="D16" s="19"/>
      <c r="E16" s="19"/>
      <c r="F16" s="19"/>
      <c r="G16" s="19"/>
    </row>
    <row r="17" spans="1:7" x14ac:dyDescent="0.25">
      <c r="C17" s="19"/>
      <c r="D17" s="19"/>
      <c r="E17" s="19"/>
      <c r="F17" s="19"/>
      <c r="G17" s="19"/>
    </row>
    <row r="18" spans="1:7" x14ac:dyDescent="0.25">
      <c r="C18" s="19"/>
      <c r="D18" s="19"/>
      <c r="E18" s="19"/>
      <c r="F18" s="19"/>
      <c r="G18" s="19"/>
    </row>
    <row r="19" spans="1:7" x14ac:dyDescent="0.25">
      <c r="C19" s="19"/>
      <c r="D19" s="19"/>
      <c r="E19" s="19"/>
      <c r="F19" s="19"/>
      <c r="G19" s="19"/>
    </row>
    <row r="20" spans="1:7" x14ac:dyDescent="0.25">
      <c r="C20" s="19"/>
      <c r="D20" s="69"/>
      <c r="E20" s="19"/>
      <c r="F20" s="19"/>
      <c r="G20" s="29">
        <f>SUM(G12:G18)</f>
        <v>0</v>
      </c>
    </row>
    <row r="21" spans="1:7" x14ac:dyDescent="0.25">
      <c r="A21" t="s">
        <v>104</v>
      </c>
      <c r="C21" s="19"/>
      <c r="D21" s="19">
        <v>15933.44</v>
      </c>
      <c r="E21" s="19"/>
      <c r="F21" s="67" t="s">
        <v>100</v>
      </c>
      <c r="G21" s="19"/>
    </row>
    <row r="22" spans="1:7" x14ac:dyDescent="0.25">
      <c r="A22" t="s">
        <v>101</v>
      </c>
      <c r="C22" s="19">
        <f>C12</f>
        <v>7568</v>
      </c>
      <c r="D22" s="19"/>
      <c r="E22" s="19"/>
      <c r="F22" s="19" t="s">
        <v>130</v>
      </c>
      <c r="G22" s="19">
        <v>137.5</v>
      </c>
    </row>
    <row r="23" spans="1:7" x14ac:dyDescent="0.25">
      <c r="A23" t="s">
        <v>102</v>
      </c>
      <c r="C23" s="19">
        <f>-C10</f>
        <v>-188.52</v>
      </c>
      <c r="D23" s="19"/>
      <c r="E23" s="19"/>
      <c r="F23" s="19"/>
      <c r="G23" s="19"/>
    </row>
    <row r="24" spans="1:7" x14ac:dyDescent="0.25">
      <c r="C24" s="19"/>
      <c r="D24" s="19"/>
      <c r="E24" s="19"/>
      <c r="F24" s="19"/>
      <c r="G24" s="19"/>
    </row>
    <row r="25" spans="1:7" ht="15.75" thickBot="1" x14ac:dyDescent="0.3">
      <c r="A25" t="s">
        <v>103</v>
      </c>
      <c r="C25" s="19"/>
      <c r="D25" s="70">
        <f>D21+C22+C23</f>
        <v>23312.920000000002</v>
      </c>
      <c r="E25" s="19"/>
      <c r="F25" s="19"/>
      <c r="G25" s="29">
        <f>SUM(G22:G24)</f>
        <v>137.5</v>
      </c>
    </row>
    <row r="26" spans="1:7" ht="15.75" thickTop="1" x14ac:dyDescent="0.25">
      <c r="E26" s="19"/>
      <c r="F26" s="19"/>
      <c r="G26" s="19"/>
    </row>
    <row r="29" spans="1:7" x14ac:dyDescent="0.25">
      <c r="D29" s="38"/>
    </row>
    <row r="30" spans="1:7" x14ac:dyDescent="0.25">
      <c r="D30" s="38"/>
    </row>
    <row r="31" spans="1:7" x14ac:dyDescent="0.25">
      <c r="D31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Detailed Income &amp; Expenditure</vt:lpstr>
      <vt:lpstr>EMR adj</vt:lpstr>
      <vt:lpstr>Land Management</vt:lpstr>
      <vt:lpstr>Cremer's Meadow</vt:lpstr>
      <vt:lpstr>Allotments</vt:lpstr>
      <vt:lpstr>Cemetery</vt:lpstr>
      <vt:lpstr>'EMR adj'!Print_Titles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 Dickson</cp:lastModifiedBy>
  <cp:lastPrinted>2026-09-04T13:21:54Z</cp:lastPrinted>
  <dcterms:created xsi:type="dcterms:W3CDTF">2026-09-04T10:22:26Z</dcterms:created>
  <dcterms:modified xsi:type="dcterms:W3CDTF">2026-09-04T13:27:59Z</dcterms:modified>
</cp:coreProperties>
</file>